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sheet56.xml" ContentType="application/vnd.openxmlformats-officedocument.spreadsheetml.worksheet+xml"/>
  <Override PartName="/xl/worksheets/sheet55.xml" ContentType="application/vnd.openxmlformats-officedocument.spreadsheetml.worksheet+xml"/>
  <Override PartName="/xl/worksheets/sheet54.xml" ContentType="application/vnd.openxmlformats-officedocument.spreadsheetml.worksheet+xml"/>
  <Override PartName="/xl/worksheets/sheet53.xml" ContentType="application/vnd.openxmlformats-officedocument.spreadsheetml.worksheet+xml"/>
  <Override PartName="/xl/worksheets/sheet5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0.xml" ContentType="application/vnd.openxmlformats-officedocument.spreadsheetml.worksheet+xml"/>
  <Override PartName="/xl/worksheets/sheet46.xml" ContentType="application/vnd.openxmlformats-officedocument.spreadsheetml.worksheet+xml"/>
  <Override PartName="/xl/worksheets/sheet45.xml" ContentType="application/vnd.openxmlformats-officedocument.spreadsheetml.worksheet+xml"/>
  <Override PartName="/xl/worksheets/sheet44.xml" ContentType="application/vnd.openxmlformats-officedocument.spreadsheetml.worksheet+xml"/>
  <Override PartName="/xl/worksheets/sheet43.xml" ContentType="application/vnd.openxmlformats-officedocument.spreadsheetml.worksheet+xml"/>
  <Override PartName="/xl/worksheets/sheet42.xml" ContentType="application/vnd.openxmlformats-officedocument.spreadsheetml.worksheet+xml"/>
  <Override PartName="/xl/worksheets/sheet41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18.xml" ContentType="application/vnd.openxmlformats-officedocument.spreadsheetml.worksheet+xml"/>
  <Override PartName="/xl/worksheets/sheet60.xml" ContentType="application/vnd.openxmlformats-officedocument.spreadsheetml.worksheet+xml"/>
  <Override PartName="/xl/worksheets/sheet1.xml" ContentType="application/vnd.openxmlformats-officedocument.spreadsheetml.worksheet+xml"/>
  <Override PartName="/xl/worksheets/sheet57.xml" ContentType="application/vnd.openxmlformats-officedocument.spreadsheetml.worksheet+xml"/>
  <Override PartName="/xl/worksheets/sheet19.xml" ContentType="application/vnd.openxmlformats-officedocument.spreadsheetml.worksheet+xml"/>
  <Override PartName="/xl/worksheets/sheet61.xml" ContentType="application/vnd.openxmlformats-officedocument.spreadsheetml.worksheet+xml"/>
  <Override PartName="/xl/worksheets/sheet2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25.xml" ContentType="application/vnd.openxmlformats-officedocument.spreadsheetml.worksheet+xml"/>
  <Override PartName="/xl/worksheets/sheet62.xml" ContentType="application/vnd.openxmlformats-officedocument.spreadsheetml.worksheet+xml"/>
  <Override PartName="/xl/worksheets/sheet3.xml" ContentType="application/vnd.openxmlformats-officedocument.spreadsheetml.worksheet+xml"/>
  <Override PartName="/xl/worksheets/sheet26.xml" ContentType="application/vnd.openxmlformats-officedocument.spreadsheetml.worksheet+xml"/>
  <Override PartName="/xl/worksheets/sheet63.xml" ContentType="application/vnd.openxmlformats-officedocument.spreadsheetml.worksheet+xml"/>
  <Override PartName="/xl/worksheets/sheet4.xml" ContentType="application/vnd.openxmlformats-officedocument.spreadsheetml.worksheet+xml"/>
  <Override PartName="/xl/worksheets/sheet27.xml" ContentType="application/vnd.openxmlformats-officedocument.spreadsheetml.worksheet+xml"/>
  <Override PartName="/xl/worksheets/sheet64.xml" ContentType="application/vnd.openxmlformats-officedocument.spreadsheetml.worksheet+xml"/>
  <Override PartName="/xl/worksheets/sheet20.xml" ContentType="application/vnd.openxmlformats-officedocument.spreadsheetml.worksheet+xml"/>
  <Override PartName="/xl/worksheets/sheet5.xml" ContentType="application/vnd.openxmlformats-officedocument.spreadsheetml.worksheet+xml"/>
  <Override PartName="/xl/worksheets/sheet77.xml" ContentType="application/vnd.openxmlformats-officedocument.spreadsheetml.worksheet+xml"/>
  <Override PartName="/xl/worksheets/sheet28.xml" ContentType="application/vnd.openxmlformats-officedocument.spreadsheetml.worksheet+xml"/>
  <Override PartName="/xl/worksheets/sheet70.xml" ContentType="application/vnd.openxmlformats-officedocument.spreadsheetml.worksheet+xml"/>
  <Override PartName="/xl/worksheets/sheet65.xml" ContentType="application/vnd.openxmlformats-officedocument.spreadsheetml.worksheet+xml"/>
  <Override PartName="/xl/worksheets/sheet21.xml" ContentType="application/vnd.openxmlformats-officedocument.spreadsheetml.worksheet+xml"/>
  <Override PartName="/xl/worksheets/sheet6.xml" ContentType="application/vnd.openxmlformats-officedocument.spreadsheetml.worksheet+xml"/>
  <Override PartName="/xl/worksheets/sheet76.xml" ContentType="application/vnd.openxmlformats-officedocument.spreadsheetml.worksheet+xml"/>
  <Override PartName="/xl/worksheets/sheet75.xml" ContentType="application/vnd.openxmlformats-officedocument.spreadsheetml.worksheet+xml"/>
  <Override PartName="/xl/worksheets/sheet74.xml" ContentType="application/vnd.openxmlformats-officedocument.spreadsheetml.worksheet+xml"/>
  <Override PartName="/xl/worksheets/sheet73.xml" ContentType="application/vnd.openxmlformats-officedocument.spreadsheetml.worksheet+xml"/>
  <Override PartName="/xl/worksheets/sheet72.xml" ContentType="application/vnd.openxmlformats-officedocument.spreadsheetml.worksheet+xml"/>
  <Override PartName="/xl/worksheets/sheet71.xml" ContentType="application/vnd.openxmlformats-officedocument.spreadsheetml.worksheet+xml"/>
  <Override PartName="/xl/worksheets/sheet29.xml" ContentType="application/vnd.openxmlformats-officedocument.spreadsheetml.worksheet+xml"/>
  <Override PartName="/xl/worksheets/sheet69.xml" ContentType="application/vnd.openxmlformats-officedocument.spreadsheetml.worksheet+xml"/>
  <Override PartName="/xl/worksheets/sheet32.xml" ContentType="application/vnd.openxmlformats-officedocument.spreadsheetml.worksheet+xml"/>
  <Override PartName="/xl/worksheets/sheet68.xml" ContentType="application/vnd.openxmlformats-officedocument.spreadsheetml.worksheet+xml"/>
  <Override PartName="/xl/worksheets/sheet31.xml" ContentType="application/vnd.openxmlformats-officedocument.spreadsheetml.worksheet+xml"/>
  <Override PartName="/xl/worksheets/sheet67.xml" ContentType="application/vnd.openxmlformats-officedocument.spreadsheetml.worksheet+xml"/>
  <Override PartName="/xl/worksheets/sheet30.xml" ContentType="application/vnd.openxmlformats-officedocument.spreadsheetml.worksheet+xml"/>
  <Override PartName="/xl/worksheets/sheet66.xml" ContentType="application/vnd.openxmlformats-officedocument.spreadsheetml.worksheet+xml"/>
  <Override PartName="/xl/worksheets/sheet22.xml" ContentType="application/vnd.openxmlformats-officedocument.spreadsheetml.worksheet+xml"/>
  <Override PartName="/xl/worksheets/sheet7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2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24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ormulario" sheetId="1" state="visible" r:id="rId3"/>
    <sheet name="Datos iniciales " sheetId="2" state="visible" r:id="rId4"/>
    <sheet name="PROVISIONALES" sheetId="3" state="visible" r:id="rId5"/>
    <sheet name="APU PROVISIONALES" sheetId="4" state="visible" r:id="rId6"/>
    <sheet name="ESTRUCTURA" sheetId="5" state="visible" r:id="rId7"/>
    <sheet name="APU ESTRUCTURAS" sheetId="6" state="visible" r:id="rId8"/>
    <sheet name="ARQUITECTURA" sheetId="7" state="visible" r:id="rId9"/>
    <sheet name="APUS ARQUITECTURA" sheetId="8" state="visible" r:id="rId10"/>
    <sheet name="SANITARIAS" sheetId="9" state="visible" r:id="rId11"/>
    <sheet name="APUS SANITARIAS" sheetId="10" state="visible" r:id="rId12"/>
    <sheet name="ELECTRICAS" sheetId="11" state="visible" r:id="rId13"/>
    <sheet name="APUS ELECTRICAS" sheetId="12" state="visible" r:id="rId14"/>
    <sheet name="COMUNICACIONES" sheetId="13" state="visible" r:id="rId15"/>
    <sheet name="APUS COMUNICACIONES" sheetId="14" state="visible" r:id="rId16"/>
    <sheet name="Obras provisionales" sheetId="15" state="visible" r:id="rId17"/>
    <sheet name="Obras exteriores " sheetId="16" state="visible" r:id="rId18"/>
    <sheet name="Estructura 1" sheetId="17" state="visible" r:id="rId19"/>
    <sheet name="Estructura 2" sheetId="18" state="visible" r:id="rId20"/>
    <sheet name="Escalera" sheetId="19" state="visible" r:id="rId21"/>
    <sheet name="Cimentación 1 piso" sheetId="20" state="visible" r:id="rId22"/>
    <sheet name="Cimentación 2 pisos " sheetId="21" state="visible" r:id="rId23"/>
    <sheet name="Cimentación 3 pisos" sheetId="22" state="visible" r:id="rId24"/>
    <sheet name="Cimentación 4 pisos" sheetId="23" state="visible" r:id="rId25"/>
    <sheet name="Platea de Cimentacion" sheetId="24" state="visible" r:id="rId26"/>
    <sheet name="BIBLIOTECA" sheetId="25" state="visible" r:id="rId27"/>
    <sheet name="Laboratorio" sheetId="26" state="visible" r:id="rId28"/>
    <sheet name="ALMACÉN MAT. DEP." sheetId="27" state="visible" r:id="rId29"/>
    <sheet name="SUM" sheetId="28" state="visible" r:id="rId30"/>
    <sheet name="MÓDULO DE CONECTIVIDAD" sheetId="29" state="visible" r:id="rId31"/>
    <sheet name="DIRECCIÓN ADM" sheetId="30" state="visible" r:id="rId32"/>
    <sheet name="SUBDIRECCIÓN " sheetId="31" state="visible" r:id="rId33"/>
    <sheet name="SALA DE REUNIONES" sheetId="32" state="visible" r:id="rId34"/>
    <sheet name="SECRETARÍA " sheetId="33" state="visible" r:id="rId35"/>
    <sheet name="SALA DE ESPERA" sheetId="34" state="visible" r:id="rId36"/>
    <sheet name="COORDINACIÓN ADMINISTRATIVA" sheetId="35" state="visible" r:id="rId37"/>
    <sheet name="ARCHIVO" sheetId="36" state="visible" r:id="rId38"/>
    <sheet name="TALLER CREATIVO PRIM" sheetId="37" state="visible" r:id="rId39"/>
    <sheet name="TALLER CREATIVO SEC" sheetId="38" state="visible" r:id="rId40"/>
    <sheet name="ECONOMATO" sheetId="39" state="visible" r:id="rId41"/>
    <sheet name="COORDINACIÓN PEDAGÓGICA" sheetId="40" state="visible" r:id="rId42"/>
    <sheet name="TÓPICO" sheetId="41" state="visible" r:id="rId43"/>
    <sheet name="SALA DE PROFESORES" sheetId="42" state="visible" r:id="rId44"/>
    <sheet name="TIENDA ESCOLAR" sheetId="43" state="visible" r:id="rId45"/>
    <sheet name="ALMACÉN GENERAL " sheetId="44" state="visible" r:id="rId46"/>
    <sheet name="SSHH ADM-HOMBRES" sheetId="45" state="visible" r:id="rId47"/>
    <sheet name="SSHH ADM-MUJERES" sheetId="46" state="visible" r:id="rId48"/>
    <sheet name="SSHH INICIAL-HOMBRES " sheetId="47" state="visible" r:id="rId49"/>
    <sheet name="SSHH INICIAL- MUJERES" sheetId="48" state="visible" r:id="rId50"/>
    <sheet name="SSHH PRIM-HOMBRES" sheetId="49" state="visible" r:id="rId51"/>
    <sheet name="SSHH PRIM-MUJERES" sheetId="50" state="visible" r:id="rId52"/>
    <sheet name="SSHH SEC-HOMBRES" sheetId="51" state="visible" r:id="rId53"/>
    <sheet name="SSHH SEC-MUJERES" sheetId="52" state="visible" r:id="rId54"/>
    <sheet name="VESTUARIOS HOMBRES" sheetId="53" state="visible" r:id="rId55"/>
    <sheet name="VESTUARIOS MUJERES" sheetId="54" state="visible" r:id="rId56"/>
    <sheet name="COCINA INICIAL" sheetId="55" state="visible" r:id="rId57"/>
    <sheet name="COCINA PRIM- SEC" sheetId="56" state="visible" r:id="rId58"/>
    <sheet name="OFICINA DE BIENESTAR" sheetId="57" state="visible" r:id="rId59"/>
    <sheet name="LACTARIO" sheetId="58" state="visible" r:id="rId60"/>
    <sheet name="CTO ELÉCTRICO" sheetId="59" state="visible" r:id="rId61"/>
    <sheet name="DEP. MATERIAL DEPORTIVO" sheetId="60" state="visible" r:id="rId62"/>
    <sheet name="DEPOSITO" sheetId="61" state="visible" r:id="rId63"/>
    <sheet name="GUARDIANIA" sheetId="62" state="visible" r:id="rId64"/>
    <sheet name="CUARTO DE LIMPIEZA" sheetId="63" state="visible" r:id="rId65"/>
    <sheet name="AULA CICLO I" sheetId="64" state="visible" r:id="rId66"/>
    <sheet name="AULA CICLO II" sheetId="65" state="visible" r:id="rId67"/>
    <sheet name="AULA PRIMARIA" sheetId="66" state="visible" r:id="rId68"/>
    <sheet name="AULA SECUNDARIA" sheetId="67" state="visible" r:id="rId69"/>
    <sheet name="AULA PSICOMOTRICIDAD" sheetId="68" state="visible" r:id="rId70"/>
    <sheet name="AULA DE INNOVACIÓN PRIM" sheetId="69" state="visible" r:id="rId71"/>
    <sheet name="AULA DE INNOVACIÓN SEC" sheetId="70" state="visible" r:id="rId72"/>
    <sheet name="TALLER EPT " sheetId="71" state="visible" r:id="rId73"/>
    <sheet name="MAESTRANZA" sheetId="72" state="visible" r:id="rId74"/>
    <sheet name="RESIDUOS" sheetId="73" state="visible" r:id="rId75"/>
    <sheet name="CIRCULACIÓN " sheetId="74" state="visible" r:id="rId76"/>
    <sheet name="ESCALERA PRIM" sheetId="75" state="visible" r:id="rId77"/>
    <sheet name="ESCALERA SEC" sheetId="76" state="visible" r:id="rId78"/>
    <sheet name="INGRESO" sheetId="77" state="visible" r:id="rId7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<sst xmlns="http://schemas.openxmlformats.org/spreadsheetml/2006/main" count="26203" uniqueCount="1393">
  <si>
    <t xml:space="preserve">Datos Generales</t>
  </si>
  <si>
    <t xml:space="preserve">Area Techada (m2)</t>
  </si>
  <si>
    <t xml:space="preserve">Area del terreno (m2)</t>
  </si>
  <si>
    <t xml:space="preserve">Plazo de ejecución (meses) </t>
  </si>
  <si>
    <t xml:space="preserve">Area Techada Escalera  (m2)</t>
  </si>
  <si>
    <t xml:space="preserve">Opciones Adicionales</t>
  </si>
  <si>
    <t xml:space="preserve">INCLUIR DEMOLICIONES</t>
  </si>
  <si>
    <t xml:space="preserve">INCLUIR COLUMNETAS Y VIGUETAS DE CONFINAMIENTO </t>
  </si>
  <si>
    <t xml:space="preserve">SI</t>
  </si>
  <si>
    <t xml:space="preserve">NO</t>
  </si>
  <si>
    <t xml:space="preserve">Cimentación</t>
  </si>
  <si>
    <t xml:space="preserve">TIPO DE CIMENTACION </t>
  </si>
  <si>
    <t xml:space="preserve">Numero de pisos</t>
  </si>
  <si>
    <t xml:space="preserve">Área de cimentación (m2)</t>
  </si>
  <si>
    <t xml:space="preserve">ZAPATAS Y VIGAS DE CIMENTACION </t>
  </si>
  <si>
    <t xml:space="preserve">PLATEA DE CIMENTACIÓN </t>
  </si>
  <si>
    <t xml:space="preserve">Ambientes</t>
  </si>
  <si>
    <t xml:space="preserve">Cantidad  </t>
  </si>
  <si>
    <t xml:space="preserve">Area  (m2)</t>
  </si>
  <si>
    <t xml:space="preserve">BIBLIOTECA </t>
  </si>
  <si>
    <t xml:space="preserve">LABORATORIO</t>
  </si>
  <si>
    <t xml:space="preserve">ALMACÉN MAT. DEP.</t>
  </si>
  <si>
    <t xml:space="preserve">SUM</t>
  </si>
  <si>
    <t xml:space="preserve">MÓDULO DE CONECTIVIDAD</t>
  </si>
  <si>
    <t xml:space="preserve">DIRECCIÓN ADM</t>
  </si>
  <si>
    <t xml:space="preserve">SUBDIRECCIÓN</t>
  </si>
  <si>
    <t xml:space="preserve">SALA DE REUNIONES</t>
  </si>
  <si>
    <t xml:space="preserve">SECRETARÍA</t>
  </si>
  <si>
    <t xml:space="preserve"> SALA DE ESPERA</t>
  </si>
  <si>
    <t xml:space="preserve">COORDINACIÓN ADMINISTRATIVA</t>
  </si>
  <si>
    <t xml:space="preserve">ARCHIVO</t>
  </si>
  <si>
    <t xml:space="preserve">TALLER CREATIVO PRIM</t>
  </si>
  <si>
    <t xml:space="preserve">TALLER CREATIVO SEC</t>
  </si>
  <si>
    <t xml:space="preserve">ECONOMATO</t>
  </si>
  <si>
    <t xml:space="preserve">COORDINACIÓN PEDAGÓGICA</t>
  </si>
  <si>
    <t xml:space="preserve">TÓPICO</t>
  </si>
  <si>
    <t xml:space="preserve">SALA DE PROFESORES</t>
  </si>
  <si>
    <t xml:space="preserve">TIENDA ESCOLAR</t>
  </si>
  <si>
    <t xml:space="preserve">ALMACÉN GENERAL </t>
  </si>
  <si>
    <t xml:space="preserve">SSHH ADM - HOMBRES</t>
  </si>
  <si>
    <t xml:space="preserve">SSHH ADM - MUJERES</t>
  </si>
  <si>
    <t xml:space="preserve">SSHH INICIAL - HOMBRES</t>
  </si>
  <si>
    <t xml:space="preserve">SSHH INICIAL - MUJERES</t>
  </si>
  <si>
    <t xml:space="preserve">SSHH PRIMARIA - HOMBRES</t>
  </si>
  <si>
    <t xml:space="preserve">SSHH PRIMARIA - MUJERES</t>
  </si>
  <si>
    <t xml:space="preserve">SSHH SECUNDARIA - HOMBRES</t>
  </si>
  <si>
    <t xml:space="preserve">SSHH SECUNDARIA - MUJERES</t>
  </si>
  <si>
    <t xml:space="preserve">VESTUARIOS - HOMBRES</t>
  </si>
  <si>
    <t xml:space="preserve">VESTUARIOS - MUJERES</t>
  </si>
  <si>
    <t xml:space="preserve">COCINA INICIAL</t>
  </si>
  <si>
    <t xml:space="preserve">COCINA PRIM -SEC</t>
  </si>
  <si>
    <t xml:space="preserve">OFICINA DE BIENESTAR</t>
  </si>
  <si>
    <t xml:space="preserve">LACTARIO</t>
  </si>
  <si>
    <t xml:space="preserve">CTO ELÉCTRICO</t>
  </si>
  <si>
    <t xml:space="preserve">DEP. MATERIAL DEPORTIVO</t>
  </si>
  <si>
    <t xml:space="preserve">DEPÓSITO</t>
  </si>
  <si>
    <t xml:space="preserve">GUARDIANÍA</t>
  </si>
  <si>
    <t xml:space="preserve">CUARTO DE LIMPIEZA</t>
  </si>
  <si>
    <t xml:space="preserve">AULA CICLO I</t>
  </si>
  <si>
    <t xml:space="preserve">AULA CICLO II</t>
  </si>
  <si>
    <t xml:space="preserve">AULA PRIMARIA</t>
  </si>
  <si>
    <t xml:space="preserve">AULA SECUNDARIA</t>
  </si>
  <si>
    <t xml:space="preserve">AULA PSICOMOTRICIDAD</t>
  </si>
  <si>
    <t xml:space="preserve">AULA DE INNOVACIÓN PEDAGÓGICA PRIM</t>
  </si>
  <si>
    <t xml:space="preserve">AULA DE INNOVACIÓN PEDAGÓGICA SEC</t>
  </si>
  <si>
    <t xml:space="preserve">TALLER EPT </t>
  </si>
  <si>
    <t xml:space="preserve">MAESTRANZA</t>
  </si>
  <si>
    <t xml:space="preserve">RESIDUOS</t>
  </si>
  <si>
    <t xml:space="preserve">CIRCULACIÓN </t>
  </si>
  <si>
    <t xml:space="preserve">ESCALERA PRIM</t>
  </si>
  <si>
    <t xml:space="preserve">ESCALERA SEC</t>
  </si>
  <si>
    <t xml:space="preserve">AREA DE INGRESO</t>
  </si>
  <si>
    <t xml:space="preserve">Exteriores</t>
  </si>
  <si>
    <t xml:space="preserve">Area</t>
  </si>
  <si>
    <t xml:space="preserve">AREAS VERDES</t>
  </si>
  <si>
    <t xml:space="preserve">LOSA DEPORTIVA</t>
  </si>
  <si>
    <t xml:space="preserve">COBERTURA DE LOSA DEPORTIVA</t>
  </si>
  <si>
    <t xml:space="preserve">PATIO DE INICIAL</t>
  </si>
  <si>
    <t xml:space="preserve">COBERTURA PATIO DE INICIAL</t>
  </si>
  <si>
    <t xml:space="preserve">ASTA DE BANDERA</t>
  </si>
  <si>
    <t xml:space="preserve">VEREDAS Y RAMPAS DE CONCRETO</t>
  </si>
  <si>
    <t xml:space="preserve">PAVIMENTO RIGIDO VEHICULAR</t>
  </si>
  <si>
    <t xml:space="preserve">LAMAS EN PASADIZOS</t>
  </si>
  <si>
    <t xml:space="preserve">ESTACIONAMIENTO DE BICICLETAS</t>
  </si>
  <si>
    <t xml:space="preserve">CERCO PERIMETRICO H=3.00M</t>
  </si>
  <si>
    <t xml:space="preserve">PORTADA DE INGRESO (PORTON METALICO)</t>
  </si>
  <si>
    <t xml:space="preserve">Categoría</t>
  </si>
  <si>
    <t xml:space="preserve">Obras provisionales</t>
  </si>
  <si>
    <t xml:space="preserve">Area Techada</t>
  </si>
  <si>
    <t xml:space="preserve">Area del terreno</t>
  </si>
  <si>
    <t xml:space="preserve">Plazo de ejecución </t>
  </si>
  <si>
    <t xml:space="preserve">Incluye demoliciones</t>
  </si>
  <si>
    <t xml:space="preserve">CT</t>
  </si>
  <si>
    <t xml:space="preserve">Área de cimentación</t>
  </si>
  <si>
    <t xml:space="preserve">#pisos</t>
  </si>
  <si>
    <t xml:space="preserve">Tipo de cimentacion</t>
  </si>
  <si>
    <t xml:space="preserve">Costo x m2</t>
  </si>
  <si>
    <t xml:space="preserve">zapatas y vigas de cimentación</t>
  </si>
  <si>
    <t xml:space="preserve">platea de cimentación</t>
  </si>
  <si>
    <t xml:space="preserve">Estructura</t>
  </si>
  <si>
    <t xml:space="preserve">Incluye columnetas y viguetas</t>
  </si>
  <si>
    <t xml:space="preserve">Area Escalera</t>
  </si>
  <si>
    <t xml:space="preserve">Area </t>
  </si>
  <si>
    <t xml:space="preserve">Total Area</t>
  </si>
  <si>
    <t xml:space="preserve">#AMBIENTES</t>
  </si>
  <si>
    <t xml:space="preserve">ML</t>
  </si>
  <si>
    <t xml:space="preserve">Area total</t>
  </si>
  <si>
    <t xml:space="preserve">COBERTURA LOSA DEPORTIVA</t>
  </si>
  <si>
    <t xml:space="preserve">PATIO DE INICIAL </t>
  </si>
  <si>
    <t xml:space="preserve">COBERTURA PATIO DE INICIAL </t>
  </si>
  <si>
    <t xml:space="preserve">CERCO PERIMETRICO H=3.00m</t>
  </si>
  <si>
    <t xml:space="preserve">PORTADA DE INGRESO  (PORTON METALICO)</t>
  </si>
  <si>
    <t xml:space="preserve">data</t>
  </si>
  <si>
    <t xml:space="preserve">INSTALACIONES EXTERIORES</t>
  </si>
  <si>
    <t xml:space="preserve">SISTEMA DE BOMBEO DE PRESIÓN CONSTANTE</t>
  </si>
  <si>
    <t xml:space="preserve">INSTALACIONES SANITARIAS EXTERIORES INC. CANALETAS DE EVACUACIÓN PLUVIAL</t>
  </si>
  <si>
    <t xml:space="preserve">SISTEMA DE AGUA CONTRA INCENDIOS (RED CONTRA INCENDIOS, GABINETES)</t>
  </si>
  <si>
    <t xml:space="preserve">COSTO DIRECTO</t>
  </si>
  <si>
    <t xml:space="preserve">Estructura </t>
  </si>
  <si>
    <t xml:space="preserve">Arquitectura  </t>
  </si>
  <si>
    <t xml:space="preserve">Sanitarias</t>
  </si>
  <si>
    <t xml:space="preserve">Electricas</t>
  </si>
  <si>
    <t xml:space="preserve">Comunicaciones</t>
  </si>
  <si>
    <t xml:space="preserve">Unidad</t>
  </si>
  <si>
    <t xml:space="preserve">Metrado</t>
  </si>
  <si>
    <t xml:space="preserve">C.U</t>
  </si>
  <si>
    <t xml:space="preserve">Parcial</t>
  </si>
  <si>
    <t xml:space="preserve">Total</t>
  </si>
  <si>
    <t xml:space="preserve">OBRAS PROVISIONALES, PRELIMINARES, SEGURIDAD Y SALUD EN EL TRABAJO Y PLAN DE CONTINGENCIA</t>
  </si>
  <si>
    <t xml:space="preserve">OBRAS PROVISIONALES </t>
  </si>
  <si>
    <t xml:space="preserve">1.1.1</t>
  </si>
  <si>
    <t xml:space="preserve">CONSTRUCCIONES PROVISIONALES</t>
  </si>
  <si>
    <t xml:space="preserve">1.1.1.1</t>
  </si>
  <si>
    <t xml:space="preserve">OFICINAS DE RESIDENCIA Y SUPERVISIÓN</t>
  </si>
  <si>
    <t xml:space="preserve">m2</t>
  </si>
  <si>
    <t xml:space="preserve">1.1.1.2</t>
  </si>
  <si>
    <t xml:space="preserve">ALMACENES DE OBRA</t>
  </si>
  <si>
    <t xml:space="preserve">1.1.1.3</t>
  </si>
  <si>
    <t xml:space="preserve">CASETAS DE GUARDIANÍA</t>
  </si>
  <si>
    <t xml:space="preserve">1.1.1.4</t>
  </si>
  <si>
    <t xml:space="preserve">COMEDOR PARA PERSONAL DE OBRA</t>
  </si>
  <si>
    <t xml:space="preserve">1.1.1.5</t>
  </si>
  <si>
    <t xml:space="preserve">VESTUARIO PARA PERSONAL DE OBRA</t>
  </si>
  <si>
    <t xml:space="preserve">1.1.1.6</t>
  </si>
  <si>
    <t xml:space="preserve">CERCO PERIMÉTRICO DE MALLA ARPILLERA</t>
  </si>
  <si>
    <t xml:space="preserve">m</t>
  </si>
  <si>
    <t xml:space="preserve">1.1.1.7</t>
  </si>
  <si>
    <t xml:space="preserve">SERVICIOS HIGIÉNICOS</t>
  </si>
  <si>
    <t xml:space="preserve">1.1.1.8</t>
  </si>
  <si>
    <t xml:space="preserve">CARTEL DE IDENTIFICACIÓN DE LA OBRA</t>
  </si>
  <si>
    <t xml:space="preserve">und</t>
  </si>
  <si>
    <t xml:space="preserve">1.1.2</t>
  </si>
  <si>
    <t xml:space="preserve">INSTALACIONES PROVISIONALES</t>
  </si>
  <si>
    <t xml:space="preserve">1.1.2.1</t>
  </si>
  <si>
    <t xml:space="preserve">CONEXIÓN E INSTALACIÓN DE AGUA</t>
  </si>
  <si>
    <t xml:space="preserve">glb</t>
  </si>
  <si>
    <t xml:space="preserve">1.1.2.2</t>
  </si>
  <si>
    <t xml:space="preserve">CONSUMO Y MANTENIMIENTO DE AGUA PARA LA CONSTRUCCIÓN</t>
  </si>
  <si>
    <t xml:space="preserve">mes</t>
  </si>
  <si>
    <t xml:space="preserve">1.1.2.3</t>
  </si>
  <si>
    <t xml:space="preserve">CONEXIÓN E INSTALACIÓN DE ENERGÍA ELÉCTRICA</t>
  </si>
  <si>
    <t xml:space="preserve">1.1.2.4</t>
  </si>
  <si>
    <t xml:space="preserve">CONSUMO Y MANTENIMIENTO DE ENERGÍA ELÉCTRICA</t>
  </si>
  <si>
    <t xml:space="preserve">TRABAJOS PRELIMINARES</t>
  </si>
  <si>
    <t xml:space="preserve">1.2.1</t>
  </si>
  <si>
    <t xml:space="preserve">LIMPIEZA DEL TERRENO</t>
  </si>
  <si>
    <t xml:space="preserve">1.2.1.1</t>
  </si>
  <si>
    <t xml:space="preserve">LIMPIEZA DEL TERRENO MANUAL</t>
  </si>
  <si>
    <t xml:space="preserve">1.2.1.2</t>
  </si>
  <si>
    <t xml:space="preserve">ELIMINACIÓN DE OBSTRUCCIONES</t>
  </si>
  <si>
    <t xml:space="preserve">1.2.2</t>
  </si>
  <si>
    <t xml:space="preserve">MOVILIZACIÓN DE CAMPAMENTO, MAQUINARIA Y HERRAMIENTAS</t>
  </si>
  <si>
    <t xml:space="preserve">1.2.2.1</t>
  </si>
  <si>
    <t xml:space="preserve">MOVILIZACIÓN DE EQUIPOS Y HERRAMIENTAS</t>
  </si>
  <si>
    <t xml:space="preserve">1.2.2.2</t>
  </si>
  <si>
    <t xml:space="preserve">TRANSPORTE DE MATERIALES A LA OBRA</t>
  </si>
  <si>
    <t xml:space="preserve">1.2.3</t>
  </si>
  <si>
    <t xml:space="preserve">TRAZOS, NIVELES Y REPLANTEO</t>
  </si>
  <si>
    <t xml:space="preserve">1.2.3.1</t>
  </si>
  <si>
    <t xml:space="preserve">TRAZO Y REPLANTEO PRELIMINAR</t>
  </si>
  <si>
    <t xml:space="preserve">1.2.3.2</t>
  </si>
  <si>
    <t xml:space="preserve">TRAZO NIVELACIÓN Y REPLANTEO DURANTE EL PROCESO</t>
  </si>
  <si>
    <t xml:space="preserve">PLAN DE SEGURIDAD Y SALUD EN EL TRABAJO</t>
  </si>
  <si>
    <t xml:space="preserve">1.3.1</t>
  </si>
  <si>
    <t xml:space="preserve">Equipo de seguridad y salud</t>
  </si>
  <si>
    <t xml:space="preserve">1.3.1.1</t>
  </si>
  <si>
    <t xml:space="preserve">EQUIPOS DE PROTECCIÓN INDIVIDUAL</t>
  </si>
  <si>
    <t xml:space="preserve">1.3.1.2</t>
  </si>
  <si>
    <t xml:space="preserve">EQUIPOS DE PROTECCIÓN COLECTIVA</t>
  </si>
  <si>
    <t xml:space="preserve">1.3.1.3</t>
  </si>
  <si>
    <t xml:space="preserve">SEÑALIZACIÓN TEMPORAL DE SEGURIDAD</t>
  </si>
  <si>
    <t xml:space="preserve">1.3.1.4</t>
  </si>
  <si>
    <t xml:space="preserve">PROGRAMA DE CAPACITACIÓN EN SEGURIDAD Y SALUD</t>
  </si>
  <si>
    <t xml:space="preserve">1.3.1.5</t>
  </si>
  <si>
    <t xml:space="preserve">RECURSOS PARA RESPUESTA ANTE EMERGENCIAS</t>
  </si>
  <si>
    <t xml:space="preserve">1.3.1.6</t>
  </si>
  <si>
    <t xml:space="preserve">PROGRAMA DE PREVENCIÓN Y CONTROL</t>
  </si>
  <si>
    <t xml:space="preserve">1.3.1.7</t>
  </si>
  <si>
    <t xml:space="preserve">EXAMEN MÉDICO GENERAL</t>
  </si>
  <si>
    <t xml:space="preserve">PLAN DE MANEJO AMBIENTAL</t>
  </si>
  <si>
    <t xml:space="preserve">1.4.1</t>
  </si>
  <si>
    <t xml:space="preserve">PROGRAMA DE PREVENCIÓN Y MITIGACIÓN AMBIENTAL</t>
  </si>
  <si>
    <t xml:space="preserve">1.4.1.1</t>
  </si>
  <si>
    <t xml:space="preserve">PREVENCIÓN Y MITIGACIÓN DE IMPACTOS</t>
  </si>
  <si>
    <t xml:space="preserve">m3</t>
  </si>
  <si>
    <t xml:space="preserve">1.4.1.2</t>
  </si>
  <si>
    <t xml:space="preserve">IMPLEMENTACIÓN DE ÁREA DE SEÑALIZACIÓN</t>
  </si>
  <si>
    <t xml:space="preserve">1.4.2</t>
  </si>
  <si>
    <t xml:space="preserve">PROGRAMA DE EDUCACIÓN Y CAPACITACIÓN AMBIENTAL</t>
  </si>
  <si>
    <t xml:space="preserve">1.4.2.1</t>
  </si>
  <si>
    <t xml:space="preserve">CHARLAS DE SENSIBILIZACIÓN AMBIENTAL</t>
  </si>
  <si>
    <t xml:space="preserve">1.4.3</t>
  </si>
  <si>
    <t xml:space="preserve">PROGRAMA DE SEGUIMIENTO, CONTROL Y VIGILANCIA AMBIENTAL</t>
  </si>
  <si>
    <t xml:space="preserve">1.4.3.1</t>
  </si>
  <si>
    <t xml:space="preserve">MONITOREO DE CALIDAD AMBIENTAL</t>
  </si>
  <si>
    <t xml:space="preserve">pto</t>
  </si>
  <si>
    <t xml:space="preserve">1.4.4</t>
  </si>
  <si>
    <t xml:space="preserve">PROGRAMA DE MANEJO DE RESIDUOS SÓLIDOS</t>
  </si>
  <si>
    <t xml:space="preserve">1.4.4.1</t>
  </si>
  <si>
    <t xml:space="preserve">Manejo de residuos peligrosos</t>
  </si>
  <si>
    <t xml:space="preserve">1.4.4.1.1</t>
  </si>
  <si>
    <t xml:space="preserve">ADQUISICIÓN DE CONTENEDORES PARA RESIDUOS PELIGROSOS</t>
  </si>
  <si>
    <t xml:space="preserve">1.4.4.1.2</t>
  </si>
  <si>
    <t xml:space="preserve">RECOLECCIÓN DE RESIDUOS PELIGROSOS</t>
  </si>
  <si>
    <t xml:space="preserve">1.4.4.1.3</t>
  </si>
  <si>
    <t xml:space="preserve">ELIMINACIÓN Y TRANSPORTE DE RESIDUOS PELIGROSOS</t>
  </si>
  <si>
    <t xml:space="preserve">1.4.4.2</t>
  </si>
  <si>
    <t xml:space="preserve">Manejo de residuos no peligrosos</t>
  </si>
  <si>
    <t xml:space="preserve">1.4.4.2.1</t>
  </si>
  <si>
    <t xml:space="preserve">ACONDICIONAMIENTO</t>
  </si>
  <si>
    <t xml:space="preserve">1.4.4.2.2</t>
  </si>
  <si>
    <t xml:space="preserve">ADQUISICIÓN DE CONTENEDORES PARA RESIDUOS NO PELIGROSOS</t>
  </si>
  <si>
    <t xml:space="preserve">1.4.4.2.3</t>
  </si>
  <si>
    <t xml:space="preserve">RECOLECCIÓN DE RESIDUOS NO PELIGROSOS</t>
  </si>
  <si>
    <t xml:space="preserve">1.4.4.2.4</t>
  </si>
  <si>
    <t xml:space="preserve">DISPOSICIÓN FINAL DE RESIDUOS NO PELIGROSOS</t>
  </si>
  <si>
    <t xml:space="preserve">1.4.4.3</t>
  </si>
  <si>
    <t xml:space="preserve">Manejo de residuos valorizables</t>
  </si>
  <si>
    <t xml:space="preserve">1.4.4.3.1</t>
  </si>
  <si>
    <t xml:space="preserve">CLASIFICACIÓN DE RESIDUOS VALORIZABLES</t>
  </si>
  <si>
    <t xml:space="preserve">1.4.4.3.2</t>
  </si>
  <si>
    <t xml:space="preserve">DISPOSICIÓN FINAL</t>
  </si>
  <si>
    <t xml:space="preserve">1.4.5</t>
  </si>
  <si>
    <t xml:space="preserve">PROGRAMA DE CONTINGENCIA</t>
  </si>
  <si>
    <t xml:space="preserve">1.4.5.1</t>
  </si>
  <si>
    <t xml:space="preserve">CONTINGENCIA ANTE DERRAMES</t>
  </si>
  <si>
    <t xml:space="preserve">1.4.6</t>
  </si>
  <si>
    <t xml:space="preserve">PROGRAMA DE CIERRE Y ABANDONO</t>
  </si>
  <si>
    <t xml:space="preserve">1.4.6.1</t>
  </si>
  <si>
    <t xml:space="preserve">MANEJO DE RESIDUOS DE DESINSTALACIÓN</t>
  </si>
  <si>
    <t xml:space="preserve">1.4.6.2</t>
  </si>
  <si>
    <t xml:space="preserve">TRASLADO Y DISPOSICIÓN FINAL DE RESIDUOS</t>
  </si>
  <si>
    <t xml:space="preserve">1.4.6.3</t>
  </si>
  <si>
    <t xml:space="preserve">REHABILITACIÓN DE SUELOS AFECTADOS</t>
  </si>
  <si>
    <t xml:space="preserve">1.4.6.4</t>
  </si>
  <si>
    <t xml:space="preserve">NIVELACIÓN Y COMPACTACIÓN</t>
  </si>
  <si>
    <t xml:space="preserve">DEMOLICIONES</t>
  </si>
  <si>
    <t xml:space="preserve">1.5.1</t>
  </si>
  <si>
    <t xml:space="preserve">DESMONTAJE</t>
  </si>
  <si>
    <t xml:space="preserve">1.5.1.1</t>
  </si>
  <si>
    <t xml:space="preserve">DESMONTAJE DE TECHO DE TEJA ANDINA + ESTRUCTURA DE MADERA</t>
  </si>
  <si>
    <t xml:space="preserve">1.5.1.2</t>
  </si>
  <si>
    <t xml:space="preserve">DESMONTAJE DE TECHO DE CALAMINA + ESTRUCTURA DE MADERA</t>
  </si>
  <si>
    <t xml:space="preserve">1.5.1.3</t>
  </si>
  <si>
    <t xml:space="preserve">DESMONTAJE DE CIELORRASO EXISTENTE</t>
  </si>
  <si>
    <t xml:space="preserve">1.5.1.4</t>
  </si>
  <si>
    <t xml:space="preserve">DESMONTAJE DE PUERTAS METÁLICAS EXISTENTES</t>
  </si>
  <si>
    <t xml:space="preserve">1.5.1.5</t>
  </si>
  <si>
    <t xml:space="preserve">DESMONTAJE DE PUERTAS DE MADERA EXISTENTES</t>
  </si>
  <si>
    <t xml:space="preserve">1.5.1.6</t>
  </si>
  <si>
    <t xml:space="preserve">DESMONTAJE DE VENTANAS EXISTENTES</t>
  </si>
  <si>
    <t xml:space="preserve">1.5.1.7</t>
  </si>
  <si>
    <t xml:space="preserve">DESMONTAJE DE PISO DE MADERA</t>
  </si>
  <si>
    <t xml:space="preserve">1.5.2</t>
  </si>
  <si>
    <t xml:space="preserve">1.5.2.1</t>
  </si>
  <si>
    <t xml:space="preserve">DEMOLICIÓN MANUAL DE PISO DE CONCRETO</t>
  </si>
  <si>
    <t xml:space="preserve">1.5.2.2</t>
  </si>
  <si>
    <t xml:space="preserve">DEMOLICIÓN MANUAL DE MURO DE TAPIAL</t>
  </si>
  <si>
    <t xml:space="preserve">Partida </t>
  </si>
  <si>
    <t xml:space="preserve">Rendimiento m2/día</t>
  </si>
  <si>
    <t xml:space="preserve">m2/dia</t>
  </si>
  <si>
    <t xml:space="preserve">M.O</t>
  </si>
  <si>
    <t xml:space="preserve">EQ</t>
  </si>
  <si>
    <t xml:space="preserve">Costo unitario directo</t>
  </si>
  <si>
    <t xml:space="preserve">Código</t>
  </si>
  <si>
    <t xml:space="preserve">Descripción Recurso</t>
  </si>
  <si>
    <t xml:space="preserve">Cuadrilla</t>
  </si>
  <si>
    <t xml:space="preserve">Cantidad</t>
  </si>
  <si>
    <t xml:space="preserve">Precio (S/.)</t>
  </si>
  <si>
    <t xml:space="preserve">Parcial (S/.)</t>
  </si>
  <si>
    <t xml:space="preserve">Mano de Obra</t>
  </si>
  <si>
    <t xml:space="preserve">OPERARIO </t>
  </si>
  <si>
    <t xml:space="preserve">hh</t>
  </si>
  <si>
    <t xml:space="preserve">OFICIAL </t>
  </si>
  <si>
    <t xml:space="preserve">PEON </t>
  </si>
  <si>
    <t xml:space="preserve">Materiales</t>
  </si>
  <si>
    <t xml:space="preserve">ALAMBRE NEGRO RECOCIDO BWG N 16</t>
  </si>
  <si>
    <t xml:space="preserve">kg</t>
  </si>
  <si>
    <t xml:space="preserve">CALAMINA</t>
  </si>
  <si>
    <t xml:space="preserve">pln</t>
  </si>
  <si>
    <t xml:space="preserve">CERRADURA CLÁSICA ADOSADA BK 233</t>
  </si>
  <si>
    <t xml:space="preserve">CLAVOS PARA CALAMINA</t>
  </si>
  <si>
    <t xml:space="preserve">CLAVO C/CABEZA P/CONSTRUCCION D.PROMEDIO</t>
  </si>
  <si>
    <t xml:space="preserve">HORMIGON </t>
  </si>
  <si>
    <t xml:space="preserve">TRIPLAY ENCHAPE CEDRO 4' x 8' x 4mm</t>
  </si>
  <si>
    <t xml:space="preserve">VIDRIO CLARO 4MM</t>
  </si>
  <si>
    <t xml:space="preserve">p2</t>
  </si>
  <si>
    <t xml:space="preserve">CEMENTO PORTLAND TIPO I (42.5 kg) </t>
  </si>
  <si>
    <t xml:space="preserve">bls</t>
  </si>
  <si>
    <t xml:space="preserve">MADERA TORNILLO</t>
  </si>
  <si>
    <t xml:space="preserve">Equipos </t>
  </si>
  <si>
    <t xml:space="preserve">HERRAMIENTAS MANUALES</t>
  </si>
  <si>
    <t xml:space="preserve">%mo</t>
  </si>
  <si>
    <t xml:space="preserve">ESPEJO BISELADO 1.15x0.75M, e=4mm (INCL.INSTALACION)</t>
  </si>
  <si>
    <t xml:space="preserve">m/dia</t>
  </si>
  <si>
    <t xml:space="preserve">CERCO DE MALLA METALICA</t>
  </si>
  <si>
    <t xml:space="preserve">m </t>
  </si>
  <si>
    <t xml:space="preserve">CLAVOS CON CABEZA DE 3"</t>
  </si>
  <si>
    <t xml:space="preserve">Equipos</t>
  </si>
  <si>
    <t xml:space="preserve">INODORO</t>
  </si>
  <si>
    <t xml:space="preserve">TUBERIA PVC 4"</t>
  </si>
  <si>
    <t xml:space="preserve">CODO PVC 4"</t>
  </si>
  <si>
    <t xml:space="preserve">PEGAMENTO PVC</t>
  </si>
  <si>
    <t xml:space="preserve">LAVAMANOS</t>
  </si>
  <si>
    <t xml:space="preserve">GRIFERIA</t>
  </si>
  <si>
    <t xml:space="preserve">SIFÓN</t>
  </si>
  <si>
    <t xml:space="preserve">und/dia</t>
  </si>
  <si>
    <t xml:space="preserve">BANNER BASE PANAFLEX 3.60 x 2.40 m</t>
  </si>
  <si>
    <t xml:space="preserve">PERNO 1/4" x 7" CON TUERCA</t>
  </si>
  <si>
    <t xml:space="preserve">PIEDRA MEDIANA DE 4"</t>
  </si>
  <si>
    <t xml:space="preserve">ROLLIZO DE EUCALIPTO DE 3" x 3 m</t>
  </si>
  <si>
    <t xml:space="preserve">pza</t>
  </si>
  <si>
    <t xml:space="preserve">glb/dia</t>
  </si>
  <si>
    <t xml:space="preserve">mes/dia</t>
  </si>
  <si>
    <t xml:space="preserve">Partida</t>
  </si>
  <si>
    <t xml:space="preserve">LIMPIEZA DE TERRENO MANUAL</t>
  </si>
  <si>
    <t xml:space="preserve">ELIMINACION DE OBSTRUCCIONES </t>
  </si>
  <si>
    <t xml:space="preserve">CAMION VOLQUETE DE 15 M3</t>
  </si>
  <si>
    <t xml:space="preserve">hm</t>
  </si>
  <si>
    <t xml:space="preserve">PINTURA ESMALTE </t>
  </si>
  <si>
    <t xml:space="preserve">gln</t>
  </si>
  <si>
    <t xml:space="preserve">YESO EN BOLSAS DE 25 KG </t>
  </si>
  <si>
    <t xml:space="preserve">CORDEL </t>
  </si>
  <si>
    <t xml:space="preserve">ESTACION TOTAL </t>
  </si>
  <si>
    <t xml:space="preserve">NIVEL TOPOGRAFICO CON TRIPODE </t>
  </si>
  <si>
    <t xml:space="preserve">TRAZO NIVELACION Y REPLANTEO DURANTE EL PROCESO </t>
  </si>
  <si>
    <t xml:space="preserve">EQUIPOS DE PROTECCION INDIVIDUAL</t>
  </si>
  <si>
    <t xml:space="preserve">gbl/dia</t>
  </si>
  <si>
    <t xml:space="preserve">gbl</t>
  </si>
  <si>
    <t xml:space="preserve">ARNES DE 3 PUNTOS CON AMORTIGUADOR TRABAJOS DE ALTURA</t>
  </si>
  <si>
    <t xml:space="preserve">BOTAS DE JEBE CON PUNTA DE ACERO</t>
  </si>
  <si>
    <t xml:space="preserve">par</t>
  </si>
  <si>
    <t xml:space="preserve">CASCO CONTRAIMPACTO CON BARBIQUEJO NORMADO</t>
  </si>
  <si>
    <t xml:space="preserve">CHALECO REFLECTIVO</t>
  </si>
  <si>
    <t xml:space="preserve">CORTAVIENTO TELA DRILL CON FORRO POLAR</t>
  </si>
  <si>
    <t xml:space="preserve">GUANTES DE CUERO</t>
  </si>
  <si>
    <t xml:space="preserve">GUANTES DE JEBE NORMADO</t>
  </si>
  <si>
    <t xml:space="preserve">GUANTES DE LONA</t>
  </si>
  <si>
    <t xml:space="preserve">GUANTES DIELÉCTRICOS CLASE 1 HASTA 10KV</t>
  </si>
  <si>
    <t xml:space="preserve">JUEGO DE CUERO PARA SOLDAR (MANDIL, MANGAS, POLAINAS)</t>
  </si>
  <si>
    <t xml:space="preserve">LENTES DE SEGURIDAD CLARO DE POLICARBONATO</t>
  </si>
  <si>
    <t xml:space="preserve">MÁSCARA DE SOLDAR</t>
  </si>
  <si>
    <t xml:space="preserve">MASCARILLA FFP1</t>
  </si>
  <si>
    <t xml:space="preserve">cja</t>
  </si>
  <si>
    <t xml:space="preserve">OREJERAS ADITIVAS PARA CASCO</t>
  </si>
  <si>
    <t xml:space="preserve">PONCHO IMPERMEABLE DE PVC</t>
  </si>
  <si>
    <t xml:space="preserve">RESPIRADOR MEDIA CARA CON CARTUCHO</t>
  </si>
  <si>
    <t xml:space="preserve">TAPONES AUDITIVOS CON CORDÓN</t>
  </si>
  <si>
    <t xml:space="preserve">TRAJE DESCARTABLE BIODEGRADABLE</t>
  </si>
  <si>
    <t xml:space="preserve">UNIFORME DE TRABAJO (PANTALÓN Y CAMISA)</t>
  </si>
  <si>
    <t xml:space="preserve">ZAPATOS DE SEGURIDAD</t>
  </si>
  <si>
    <t xml:space="preserve">EQUIPOS DE PROTECCION COLECTIVA</t>
  </si>
  <si>
    <t xml:space="preserve">CINTA DE SEGURIDAD (AMARILLO/ROJO)</t>
  </si>
  <si>
    <t xml:space="preserve">rll</t>
  </si>
  <si>
    <t xml:space="preserve">CONOS DE SEGURIDAD 36"</t>
  </si>
  <si>
    <t xml:space="preserve">LISTONES DE 3”X2” MADERA TORNILLO</t>
  </si>
  <si>
    <t xml:space="preserve">MALLA HDPE PARA CERCO PERIMETRAL</t>
  </si>
  <si>
    <t xml:space="preserve">PROTECTOR DE ACERO (CAPUCHONES)</t>
  </si>
  <si>
    <t xml:space="preserve">ROLLO DE SOGA DRIZA DE 5/8”</t>
  </si>
  <si>
    <t xml:space="preserve">CARTEL GENERAL INDICATIVO DE ADVERTENCIA</t>
  </si>
  <si>
    <t xml:space="preserve">CARTEL GENERAL INDICATIVO DE PROHIBICIÓN</t>
  </si>
  <si>
    <t xml:space="preserve">CARTEL GENERAL INDICATIVO DE RIESGO</t>
  </si>
  <si>
    <t xml:space="preserve">CARTEL SEÑALIZADOR DE SEGURIDAD AL INGRESO</t>
  </si>
  <si>
    <t xml:space="preserve">CARTELES DE EVACUACIÓN DE SALIDA 40X30</t>
  </si>
  <si>
    <t xml:space="preserve">CARTELES DE SEÑALIZACIÓN DE SEGURIDAD EN OBRA</t>
  </si>
  <si>
    <t xml:space="preserve">POSTE PARA SEÑALIZACIÓN DE MADERA Y CONCRETO</t>
  </si>
  <si>
    <t xml:space="preserve">SEÑAL PROVISIONAL DE OBRA (LETREROS)</t>
  </si>
  <si>
    <t xml:space="preserve">CAPACITACIÓN EN SEGURIDAD Y SALUD 1 VEX POR MES</t>
  </si>
  <si>
    <t xml:space="preserve">MATERIAL INFORMATIVO DE CAPACITACIÓN</t>
  </si>
  <si>
    <t xml:space="preserve">REFRIGERIO</t>
  </si>
  <si>
    <t xml:space="preserve">RECURSOS PARA RESPUESTAS ANTE EMERGENCIAS</t>
  </si>
  <si>
    <t xml:space="preserve">ALARMA CON PULSADOR</t>
  </si>
  <si>
    <t xml:space="preserve">BOTIQUÍN COMPLETO SEGÚN LA NORMA G 050</t>
  </si>
  <si>
    <t xml:space="preserve">CAMILLA RÍGIDA COLOR NARANJA CON CINTOS</t>
  </si>
  <si>
    <t xml:space="preserve">COLLARÍN CERVICAL</t>
  </si>
  <si>
    <t xml:space="preserve">EXTINTOR DE POLVO QUÍMICO SECO (PQS) DE 6 KG</t>
  </si>
  <si>
    <t xml:space="preserve">LAVA OJO</t>
  </si>
  <si>
    <t xml:space="preserve">PROGRAMA DE PREVENCION Y CONTROL</t>
  </si>
  <si>
    <t xml:space="preserve">AGUA DE MESA PARA CONSUMO HUMANO: CONTROL AGENTE FÍSICO</t>
  </si>
  <si>
    <t xml:space="preserve">PROTECTOR SOLAR CON PROTECTOR UV Y UVB 1 LITRO</t>
  </si>
  <si>
    <t xml:space="preserve">EXAMEN MÉDICO OCUPACIONAL: PREVENCIÓN ESTADO SALUD TRABAJADOR</t>
  </si>
  <si>
    <t xml:space="preserve">PREVENCION Y MITIGACION DE IMPACTOS</t>
  </si>
  <si>
    <t xml:space="preserve">CAMION CISTERNA 2000 GAL</t>
  </si>
  <si>
    <t xml:space="preserve">MOTOBOMBA 10HP 4"</t>
  </si>
  <si>
    <t xml:space="preserve">IMPLEMENTACIÓN DE ÁREA DE LA SEÑALIZACIÓN AMBIENTAL</t>
  </si>
  <si>
    <t xml:space="preserve">OPERARIO</t>
  </si>
  <si>
    <t xml:space="preserve">CINTA DE MADERA DE 2”X2” (3.00)</t>
  </si>
  <si>
    <t xml:space="preserve">HORMIGÓN</t>
  </si>
  <si>
    <t xml:space="preserve">SEÑALIZACIÓN AMBIENTAL</t>
  </si>
  <si>
    <t xml:space="preserve">CHARLAS DE SENSIBILIZACIÓN PARA LOS TRABAJADORES</t>
  </si>
  <si>
    <t xml:space="preserve">FICHA DE CONTROL</t>
  </si>
  <si>
    <t xml:space="preserve">MATERIAL DIDÁCTICO PARA CHARLAS Y TALLERES</t>
  </si>
  <si>
    <t xml:space="preserve">PANEL INFORMATIVO (1.20MX0.80M) INCLUYE MARCO</t>
  </si>
  <si>
    <t xml:space="preserve">MONITOREO DE CALIDAD AMBIENTAL </t>
  </si>
  <si>
    <t xml:space="preserve">pto/dia</t>
  </si>
  <si>
    <t xml:space="preserve">SERVICIO DE MONITOREO DE CALIDAD AMBIENTAL DE RUIDO</t>
  </si>
  <si>
    <t xml:space="preserve">CONTENEDOR DE RESIDUOS SOLIDOS DE 200 LTS</t>
  </si>
  <si>
    <t xml:space="preserve">m3/dia</t>
  </si>
  <si>
    <t xml:space="preserve">ALCOHOL EN GELX300 ML </t>
  </si>
  <si>
    <t xml:space="preserve">BOLSAS DE POLIETILENO (ROJO, NEGRO) </t>
  </si>
  <si>
    <t xml:space="preserve">pqt</t>
  </si>
  <si>
    <t xml:space="preserve">GUANTES LATEX </t>
  </si>
  <si>
    <t xml:space="preserve">JABON LIQUIDO ANTIBACTERIAL DE 1 L </t>
  </si>
  <si>
    <t xml:space="preserve">MASCARILLA Y/O RESPIRADOR </t>
  </si>
  <si>
    <t xml:space="preserve">TRAJE DESCARTABLE BIODEGRADABLE </t>
  </si>
  <si>
    <t xml:space="preserve">SERVICIO DE ELIMINACIÓN Y TRANSPORTE DE RESIDUOS PELIGROSOS</t>
  </si>
  <si>
    <t xml:space="preserve">est</t>
  </si>
  <si>
    <t xml:space="preserve">ACONDICIONAMIENTO </t>
  </si>
  <si>
    <t xml:space="preserve">CALAMINA GALV. 11 CANALES 0.83x1.83 (N°30)</t>
  </si>
  <si>
    <t xml:space="preserve">HORMIGON</t>
  </si>
  <si>
    <t xml:space="preserve">m³</t>
  </si>
  <si>
    <t xml:space="preserve">CEMENTO PORTLAND TIPO IP (42.5 kg)</t>
  </si>
  <si>
    <t xml:space="preserve">bol</t>
  </si>
  <si>
    <t xml:space="preserve">MADERA AGUANO</t>
  </si>
  <si>
    <t xml:space="preserve">P2</t>
  </si>
  <si>
    <t xml:space="preserve">BOLSAS NEGRAS DE BASURA</t>
  </si>
  <si>
    <t xml:space="preserve">ESCOBA CON MANGO PVC</t>
  </si>
  <si>
    <t xml:space="preserve">RECOGEDOR</t>
  </si>
  <si>
    <t xml:space="preserve">OPERARIO DE EQUIPO PESADO</t>
  </si>
  <si>
    <t xml:space="preserve">PETRÓLEO D-2</t>
  </si>
  <si>
    <t xml:space="preserve">gal</t>
  </si>
  <si>
    <t xml:space="preserve">CAMIÓN VOLQUETE DE 15 M3</t>
  </si>
  <si>
    <t xml:space="preserve">SACOS DE POLIPROPILENO 50 KG</t>
  </si>
  <si>
    <t xml:space="preserve">BOLSAS HERMÉTICAS</t>
  </si>
  <si>
    <t xml:space="preserve">KIT ANTE DERRAME</t>
  </si>
  <si>
    <t xml:space="preserve">PAÑOS ABSORBENTES PARA HIDROCARBUROS</t>
  </si>
  <si>
    <t xml:space="preserve">ROLLO DE PLÁSTICO DE 1.0 mm x 2 mm</t>
  </si>
  <si>
    <t xml:space="preserve">RETROEXCAVADOR SOBRE LLANTAS 80-110HP 0.5-1.3 YD³</t>
  </si>
  <si>
    <t xml:space="preserve">CARGADOR FRONTAL S/LLANTAS DE 125-155 HP 3 YD³</t>
  </si>
  <si>
    <t xml:space="preserve">ABONO ORGÁNICO</t>
  </si>
  <si>
    <t xml:space="preserve">SEMILLAS DE PLANTAS ORNAMENTALES</t>
  </si>
  <si>
    <t xml:space="preserve">NIVELACION Y COMPACTACION </t>
  </si>
  <si>
    <t xml:space="preserve">GASOHOL</t>
  </si>
  <si>
    <t xml:space="preserve">COMPACTADOR VIBRATORIO TIPO PLANCHA 4 HP</t>
  </si>
  <si>
    <t xml:space="preserve">Parcial </t>
  </si>
  <si>
    <t xml:space="preserve">Total </t>
  </si>
  <si>
    <t xml:space="preserve">ESTRUCTURA</t>
  </si>
  <si>
    <t xml:space="preserve">MOVIMIENTO DE TIERRAS</t>
  </si>
  <si>
    <t xml:space="preserve">02.01.01</t>
  </si>
  <si>
    <t xml:space="preserve">EXCAVACIÓN LOCALIZADA CON MAQUINARIA</t>
  </si>
  <si>
    <t xml:space="preserve">02.01.02</t>
  </si>
  <si>
    <t xml:space="preserve">EXCAVACIÓN MANUAL</t>
  </si>
  <si>
    <t xml:space="preserve">02.01.03</t>
  </si>
  <si>
    <t xml:space="preserve">RELLENO COMPACTADO C/PLANCHA COMPACTADORA C/MATERIAL DE PRÉSTAMO</t>
  </si>
  <si>
    <t xml:space="preserve">02.01.04</t>
  </si>
  <si>
    <t xml:space="preserve">RELLENO COMPACTADO C/PLANCHA COMPACTADORA C/MATERIAL PROPIO</t>
  </si>
  <si>
    <t xml:space="preserve">02.01.05</t>
  </si>
  <si>
    <t xml:space="preserve">FORMACION Y COMPACTACION DE SUBRASANTE</t>
  </si>
  <si>
    <t xml:space="preserve">02.01.06</t>
  </si>
  <si>
    <t xml:space="preserve">ACARREO DE MATERIAL EXCEDENTE</t>
  </si>
  <si>
    <t xml:space="preserve">02.01.07</t>
  </si>
  <si>
    <t xml:space="preserve">ELIMINACIÓN DE MATERIAL EXCEDENTE HASTA D=10 KM</t>
  </si>
  <si>
    <t xml:space="preserve">02.01.08</t>
  </si>
  <si>
    <t xml:space="preserve">COMPACTACION DE SUBRASANTE LOSA DEPORTIVA</t>
  </si>
  <si>
    <t xml:space="preserve">02.01.09</t>
  </si>
  <si>
    <t xml:space="preserve">AFIRMADO DE e=0.30m PARA LOSA DEPORTIVA</t>
  </si>
  <si>
    <t xml:space="preserve">CONCRETO SIMPLE</t>
  </si>
  <si>
    <t xml:space="preserve">02.02.01</t>
  </si>
  <si>
    <t xml:space="preserve">CONCRETO CICLOPEO -PLATEA DE CIMENTACION </t>
  </si>
  <si>
    <t xml:space="preserve">02.02.01.01</t>
  </si>
  <si>
    <t xml:space="preserve">CONCRETO CICLOPEO F’C=100 KG/CM² + PIEDRA GRANDE DE 8" E=0.80 M</t>
  </si>
  <si>
    <t xml:space="preserve">02.02.02</t>
  </si>
  <si>
    <t xml:space="preserve">FALSA ZAPATA  </t>
  </si>
  <si>
    <t xml:space="preserve">02.02.02.01</t>
  </si>
  <si>
    <t xml:space="preserve">FALSA ZAPATA F’C=100 KG/CM² + PIEDRA GRANDE DE 8" E=0.80 M</t>
  </si>
  <si>
    <t xml:space="preserve">02.02.03</t>
  </si>
  <si>
    <t xml:space="preserve">FALSO PISO  </t>
  </si>
  <si>
    <t xml:space="preserve">02.02.03.01</t>
  </si>
  <si>
    <t xml:space="preserve">FALSO PISO E = 4" FC = 175 KG/CM2</t>
  </si>
  <si>
    <t xml:space="preserve">02.02.04</t>
  </si>
  <si>
    <t xml:space="preserve">SOLADOS</t>
  </si>
  <si>
    <t xml:space="preserve">02.02.04.01</t>
  </si>
  <si>
    <t xml:space="preserve">SOLADO PARA VIGA DE CIMENTACIÓN FC=100 KG/CM2 E=4"</t>
  </si>
  <si>
    <t xml:space="preserve">CONCRETO ARMADO</t>
  </si>
  <si>
    <t xml:space="preserve">02.03.01</t>
  </si>
  <si>
    <t xml:space="preserve">ZAPATAS</t>
  </si>
  <si>
    <t xml:space="preserve">02.03.01.01</t>
  </si>
  <si>
    <t xml:space="preserve">ZAPATAS.- CONCRETO f'c=210 Kg/cm2</t>
  </si>
  <si>
    <t xml:space="preserve">02.03.01.02</t>
  </si>
  <si>
    <t xml:space="preserve">ZAPATAS.- ACERO DE REFUERZO fy=4,200 Kg/cm2</t>
  </si>
  <si>
    <t xml:space="preserve">02.03.02</t>
  </si>
  <si>
    <t xml:space="preserve">PLATEA DE CIMENTACION</t>
  </si>
  <si>
    <t xml:space="preserve">02.03.02.01</t>
  </si>
  <si>
    <t xml:space="preserve">PLATEA DE CIMENTACION. – CONCRETO f'c=210</t>
  </si>
  <si>
    <t xml:space="preserve">02.03.02.02</t>
  </si>
  <si>
    <t xml:space="preserve">PLATEA DE CIMENTACION. – ENCOFRADO Y DESENCOFRADO</t>
  </si>
  <si>
    <t xml:space="preserve">02.03.02.03</t>
  </si>
  <si>
    <t xml:space="preserve">PLATEA DE CIMENTACION.- ACERO DE REFUERZO fy=4,200 Kg/cm2</t>
  </si>
  <si>
    <t xml:space="preserve">02.03.03</t>
  </si>
  <si>
    <t xml:space="preserve">SOBRECIMIENTOS ARMADO</t>
  </si>
  <si>
    <t xml:space="preserve">02.03.03.01</t>
  </si>
  <si>
    <t xml:space="preserve">SOBRECIMIENTO REFORZADO.- CONCRETO 210 KG/CM2</t>
  </si>
  <si>
    <t xml:space="preserve">02.03.03.02</t>
  </si>
  <si>
    <t xml:space="preserve">SOBRECIMIENTOS REFORZADOS.- ENCOFRADO Y DESENCOFRADO</t>
  </si>
  <si>
    <t xml:space="preserve">02.03.03.03</t>
  </si>
  <si>
    <t xml:space="preserve">SOBRECIMIENTO ARMADO.- ACERO DE REFUERZO fy=4,200 Kg/cm2</t>
  </si>
  <si>
    <t xml:space="preserve">02.03.04</t>
  </si>
  <si>
    <t xml:space="preserve">VIGAS DE CIMENTACIÓN</t>
  </si>
  <si>
    <t xml:space="preserve">02.03.04.01</t>
  </si>
  <si>
    <t xml:space="preserve">VIGAS DE CIMENTACIÓN.- CONCRETO 210 KG/CM2</t>
  </si>
  <si>
    <t xml:space="preserve">02.03.04.02</t>
  </si>
  <si>
    <t xml:space="preserve">VIGAS DE CIMENTACIÓN.- ENCOFRADO Y DESENCOFRADO</t>
  </si>
  <si>
    <t xml:space="preserve">02.03.04.03</t>
  </si>
  <si>
    <t xml:space="preserve">VIGAS DE CIMENTACIÓN.- ACERO DE REFUERZO fy=4,200 Kg/cm2</t>
  </si>
  <si>
    <t xml:space="preserve">02.03.05</t>
  </si>
  <si>
    <t xml:space="preserve">COLUMNAS</t>
  </si>
  <si>
    <t xml:space="preserve">02.03.05.01</t>
  </si>
  <si>
    <t xml:space="preserve">COLUMNAS-CONCRETO fc=210kg/cm2</t>
  </si>
  <si>
    <t xml:space="preserve">02.03.05.02</t>
  </si>
  <si>
    <t xml:space="preserve">COLUMNAS.- ENCOFRADO Y DESENCOFRADO</t>
  </si>
  <si>
    <t xml:space="preserve">02.03.05.03</t>
  </si>
  <si>
    <t xml:space="preserve">COLUMNAS.- ACERO DE REFUERZO fy=4,200 Kg/cm2</t>
  </si>
  <si>
    <t xml:space="preserve">02.03.06</t>
  </si>
  <si>
    <t xml:space="preserve">COLUMNETAS DE CONFINAMIENTO</t>
  </si>
  <si>
    <t xml:space="preserve">02.03.06.01</t>
  </si>
  <si>
    <t xml:space="preserve">COLUMNETAS DE CONFINAMIENTO-CONCRETO fc=210kg/cm2</t>
  </si>
  <si>
    <t xml:space="preserve">02.03.06.02</t>
  </si>
  <si>
    <t xml:space="preserve">COLUMNETAS DE CONFINAMIENTO.- ENCOFRADO Y DESENCOFRADO</t>
  </si>
  <si>
    <t xml:space="preserve">02.03.06.03</t>
  </si>
  <si>
    <t xml:space="preserve">COLUMNETAS DE CONFINAMIENTO.- ACERO DE REFUERZO fy=4,200 Kg/cm2</t>
  </si>
  <si>
    <t xml:space="preserve">02.03.07</t>
  </si>
  <si>
    <t xml:space="preserve">VIGAS</t>
  </si>
  <si>
    <t xml:space="preserve">02.03.07.01</t>
  </si>
  <si>
    <t xml:space="preserve">VIGAS.- CONCRETO fc=210kg/cm2</t>
  </si>
  <si>
    <t xml:space="preserve">02.03.07.02</t>
  </si>
  <si>
    <t xml:space="preserve">VIGAS.- ENCOFRADO Y DESENCOFRADO</t>
  </si>
  <si>
    <t xml:space="preserve">02.03.07.03</t>
  </si>
  <si>
    <t xml:space="preserve">VIGAS.- ACERO fy=4200 kg/cm²</t>
  </si>
  <si>
    <t xml:space="preserve">02.03.08</t>
  </si>
  <si>
    <t xml:space="preserve">VIGUETAS DE CONFINAMIENTO </t>
  </si>
  <si>
    <t xml:space="preserve">02.03.08.01</t>
  </si>
  <si>
    <t xml:space="preserve">VIGUETAS DE CONFINAMIENTO.- CONCRETO fc=210kg/cm2</t>
  </si>
  <si>
    <t xml:space="preserve">02.03.08.02</t>
  </si>
  <si>
    <t xml:space="preserve">VIGUETAS DE CONFINAMIENTO.- ENCOFRADO Y DESENCOFRADO</t>
  </si>
  <si>
    <t xml:space="preserve">02.03.08.03</t>
  </si>
  <si>
    <t xml:space="preserve">VIGUETAS DE CONFINAMIENTO.- ACERO fy=4200 kg/cm²</t>
  </si>
  <si>
    <t xml:space="preserve">02.03.09</t>
  </si>
  <si>
    <t xml:space="preserve">LOSA ALIGERADA </t>
  </si>
  <si>
    <t xml:space="preserve">02.03.09.01</t>
  </si>
  <si>
    <t xml:space="preserve">LOSA ALIGERADA - CONCRETO f'c=210 kg/cm²</t>
  </si>
  <si>
    <t xml:space="preserve">02.03.09.02</t>
  </si>
  <si>
    <t xml:space="preserve">LOSA ALIGERADA.- ENCOFRADO Y DESENCOFRADO</t>
  </si>
  <si>
    <t xml:space="preserve">02.03.09.03</t>
  </si>
  <si>
    <t xml:space="preserve">LOSA ALIGERADA.- ACERO DE REFUERZO fy=4,200 kg/cm²</t>
  </si>
  <si>
    <t xml:space="preserve">02.03.09.04</t>
  </si>
  <si>
    <t xml:space="preserve">LOSA ALIGERADA.- LADRILLO HUECO 30×30×15 cm</t>
  </si>
  <si>
    <t xml:space="preserve">und </t>
  </si>
  <si>
    <t xml:space="preserve">02.03.10</t>
  </si>
  <si>
    <t xml:space="preserve">LOSA MACIZA</t>
  </si>
  <si>
    <t xml:space="preserve">02.03.10.01</t>
  </si>
  <si>
    <t xml:space="preserve">LOSA MACIZA CONCRETO f'c= 210 kg/cm²</t>
  </si>
  <si>
    <t xml:space="preserve">02.03.10.02</t>
  </si>
  <si>
    <t xml:space="preserve">LOSA MACIZA ENCOFRADO Y DESENCOFRADO</t>
  </si>
  <si>
    <t xml:space="preserve">02.03.10.03</t>
  </si>
  <si>
    <t xml:space="preserve">LOSA MACIZA ACERO fy=4200 kg/cm²</t>
  </si>
  <si>
    <t xml:space="preserve">02.03.11</t>
  </si>
  <si>
    <t xml:space="preserve">PLACAS</t>
  </si>
  <si>
    <t xml:space="preserve">02.03.11.01</t>
  </si>
  <si>
    <t xml:space="preserve">PLACAS-CONCRETO fc=210kg/cm2</t>
  </si>
  <si>
    <t xml:space="preserve">02.03.11.02</t>
  </si>
  <si>
    <t xml:space="preserve">PLACAS.- ENCOFRADO Y DESENCOFRADO</t>
  </si>
  <si>
    <t xml:space="preserve">02.03.11.03</t>
  </si>
  <si>
    <t xml:space="preserve">PLACAS.- ACERO DE REFUERZO fy=4,200 Kg/cm2</t>
  </si>
  <si>
    <t xml:space="preserve">02.03.12</t>
  </si>
  <si>
    <t xml:space="preserve">ESCALERA </t>
  </si>
  <si>
    <t xml:space="preserve">02.03.12.01</t>
  </si>
  <si>
    <t xml:space="preserve">CONCRETO F'C=210 KG/CM² EN ESCALERA</t>
  </si>
  <si>
    <t xml:space="preserve">02.03.12.02</t>
  </si>
  <si>
    <t xml:space="preserve">ENCOFRADO Y DESENCOFRADO ESCALERA</t>
  </si>
  <si>
    <t xml:space="preserve">02.03.12.03</t>
  </si>
  <si>
    <t xml:space="preserve">ACERO FY=4200 KG/CM² EN ESCALERA</t>
  </si>
  <si>
    <t xml:space="preserve">OBRAS EXTERIORES</t>
  </si>
  <si>
    <t xml:space="preserve">02.04.01</t>
  </si>
  <si>
    <t xml:space="preserve">02.04.01.01</t>
  </si>
  <si>
    <t xml:space="preserve">CONCRETO EN LOSA DEPORTIVA F'C= 210 KG/CM2</t>
  </si>
  <si>
    <t xml:space="preserve">02.04.01.02</t>
  </si>
  <si>
    <t xml:space="preserve">CONCRETO DE UÑAS = 210KG/CM2</t>
  </si>
  <si>
    <t xml:space="preserve">02.04.01.03</t>
  </si>
  <si>
    <t xml:space="preserve">ENCOFRADO Y DESENCOFRADO NORMAL EN LOSA</t>
  </si>
  <si>
    <t xml:space="preserve">02.04.01.04</t>
  </si>
  <si>
    <t xml:space="preserve">DADOS DE CONCRETO PARA SOPORTE, f'c=210 kg/cm2</t>
  </si>
  <si>
    <t xml:space="preserve">02.04.01.05</t>
  </si>
  <si>
    <t xml:space="preserve">CURADO DE LOSA</t>
  </si>
  <si>
    <t xml:space="preserve">02.04.01.06</t>
  </si>
  <si>
    <t xml:space="preserve">JUNTAS DE DILATACION E= 1" , H=0.10</t>
  </si>
  <si>
    <t xml:space="preserve">02.04.01.07</t>
  </si>
  <si>
    <t xml:space="preserve">JUNTAS DILATACION E= 1", H= 0.05</t>
  </si>
  <si>
    <t xml:space="preserve">02.04.01.08</t>
  </si>
  <si>
    <t xml:space="preserve">ESTRUCTURA METALICA P/PARANTES DE REFLECTORES</t>
  </si>
  <si>
    <t xml:space="preserve">02.04.02</t>
  </si>
  <si>
    <t xml:space="preserve">02.04.02.01</t>
  </si>
  <si>
    <t xml:space="preserve">CONCRETO EN PATIO DE INICIAL F'C= 210 KG/CM2</t>
  </si>
  <si>
    <t xml:space="preserve">02.04.02.02</t>
  </si>
  <si>
    <t xml:space="preserve">02.04.02.03</t>
  </si>
  <si>
    <t xml:space="preserve">02.04.02.04</t>
  </si>
  <si>
    <t xml:space="preserve">02.04.02.05</t>
  </si>
  <si>
    <t xml:space="preserve">02.04.02.06</t>
  </si>
  <si>
    <t xml:space="preserve">02.04.02.07</t>
  </si>
  <si>
    <t xml:space="preserve">02.04.02.08</t>
  </si>
  <si>
    <t xml:space="preserve">02.04.03</t>
  </si>
  <si>
    <t xml:space="preserve">02.04.03.01</t>
  </si>
  <si>
    <t xml:space="preserve">CONCRETO EN VEREDAS F'C= 175 KG/CM2</t>
  </si>
  <si>
    <t xml:space="preserve">02.04.03.02</t>
  </si>
  <si>
    <t xml:space="preserve">CONCRETO DE UÑAS = 175KG/CM2</t>
  </si>
  <si>
    <t xml:space="preserve">02.04.03.03</t>
  </si>
  <si>
    <t xml:space="preserve">02.04.03.04</t>
  </si>
  <si>
    <t xml:space="preserve">02.04.03.05</t>
  </si>
  <si>
    <t xml:space="preserve">02.04.03.06</t>
  </si>
  <si>
    <t xml:space="preserve">02.04.04</t>
  </si>
  <si>
    <t xml:space="preserve">02.04.04.01</t>
  </si>
  <si>
    <t xml:space="preserve">PAVIMENTO VEHICULAR - ENCOFRADO Y DESENCOFRADO</t>
  </si>
  <si>
    <t xml:space="preserve">02.04.04.02</t>
  </si>
  <si>
    <t xml:space="preserve">DOWELLS</t>
  </si>
  <si>
    <t xml:space="preserve">02.04.04.03</t>
  </si>
  <si>
    <t xml:space="preserve">02.04.04.04</t>
  </si>
  <si>
    <t xml:space="preserve">PAVIMENTO VEHICULAR - CONCRETO F'C=210 kg/cm2 </t>
  </si>
  <si>
    <t xml:space="preserve">02.04.04.05</t>
  </si>
  <si>
    <t xml:space="preserve">02.04.05</t>
  </si>
  <si>
    <t xml:space="preserve">02.04.05.01</t>
  </si>
  <si>
    <t xml:space="preserve">02.04.06</t>
  </si>
  <si>
    <t xml:space="preserve">CERCO PERIMETRICO </t>
  </si>
  <si>
    <t xml:space="preserve">02.04.06.01</t>
  </si>
  <si>
    <t xml:space="preserve">MURO DE CONTENCION PARA CERCO PERIMETRICO</t>
  </si>
  <si>
    <t xml:space="preserve">02.04.06.02</t>
  </si>
  <si>
    <t xml:space="preserve">COLUMNAS PARA CERCO PERIMETRICO </t>
  </si>
  <si>
    <t xml:space="preserve">02.04.06.03</t>
  </si>
  <si>
    <t xml:space="preserve">VIGAS PARA CERCO PERIMETRICO</t>
  </si>
  <si>
    <t xml:space="preserve">02.04.06.04</t>
  </si>
  <si>
    <t xml:space="preserve">JUNTAS DE DILATACION H=0.10</t>
  </si>
  <si>
    <t xml:space="preserve">02.04.07</t>
  </si>
  <si>
    <t xml:space="preserve">02.04.07.01</t>
  </si>
  <si>
    <t xml:space="preserve">CAPATAZ</t>
  </si>
  <si>
    <t xml:space="preserve">RETROEXCAVADORA SOBRE LLANTAS 58 HP 1YD3</t>
  </si>
  <si>
    <t xml:space="preserve">OPERADOR EQUIPO LIVIANO</t>
  </si>
  <si>
    <t xml:space="preserve">Materiales </t>
  </si>
  <si>
    <t xml:space="preserve">MATERIAL GRANULAR</t>
  </si>
  <si>
    <t xml:space="preserve">AGUA </t>
  </si>
  <si>
    <t xml:space="preserve">APISONADOR TIPO CANGURO</t>
  </si>
  <si>
    <t xml:space="preserve">CAMION CISTERNA (1,500 GLNS.)</t>
  </si>
  <si>
    <t xml:space="preserve">RODILLO LISO VIBRATORIO AUTOPROPULSADO 7- 9  ton</t>
  </si>
  <si>
    <t xml:space="preserve">MOTONIVELADORA 125 HP</t>
  </si>
  <si>
    <t xml:space="preserve">MINICARGADOR DE 73 HP</t>
  </si>
  <si>
    <t xml:space="preserve">CAMION VOLQUETE 4X4 414 HP 15 m3</t>
  </si>
  <si>
    <t xml:space="preserve">CARGADOR SOBRE LLANTAS 100-115 HP 2-2.25 yd3</t>
  </si>
  <si>
    <t xml:space="preserve">OPERADOR DE EQUIPO LIVIANO</t>
  </si>
  <si>
    <t xml:space="preserve">AGUA</t>
  </si>
  <si>
    <t xml:space="preserve">GASOLINA DE 84 OCTANOS </t>
  </si>
  <si>
    <t xml:space="preserve">PIEDRA GRANDE DE 8"</t>
  </si>
  <si>
    <t xml:space="preserve">MEZCLADORA DE CONCRETO TAMBOR 11 p3 18 HP</t>
  </si>
  <si>
    <t xml:space="preserve">FALSO PISO MEZCLA 1:8 e=10 cm.</t>
  </si>
  <si>
    <t xml:space="preserve">MADERA TORNILLO </t>
  </si>
  <si>
    <t xml:space="preserve">SOLADO PARA CIMENTACION</t>
  </si>
  <si>
    <t xml:space="preserve"> </t>
  </si>
  <si>
    <t xml:space="preserve">PIEDRA CHANCADA DE 1/2" Y 3/4"</t>
  </si>
  <si>
    <t xml:space="preserve">ARENA GRUESA </t>
  </si>
  <si>
    <t xml:space="preserve">ADITIVO IMPERMEABILIZANTE </t>
  </si>
  <si>
    <t xml:space="preserve">VIBRADOR A GASOLINA Y 1 3/4" , 4 HP</t>
  </si>
  <si>
    <t xml:space="preserve">ZAPATAS.- ENCOFRADO Y DESENCOFRADO</t>
  </si>
  <si>
    <t xml:space="preserve">ALAMBRE NEGRO RECOCIDO BWG N 8</t>
  </si>
  <si>
    <t xml:space="preserve">kg/dia</t>
  </si>
  <si>
    <t xml:space="preserve">OFICIAL</t>
  </si>
  <si>
    <t xml:space="preserve">ACERO CORRUGADO F'Y 4200 (G-60) PRECIO PROMEDIO</t>
  </si>
  <si>
    <t xml:space="preserve">CIZALLA PARA CORTE DE FIERRO</t>
  </si>
  <si>
    <t xml:space="preserve">PLATEA DE CIMENTACION.- CONCRETO f'c=210 Kg/cm2</t>
  </si>
  <si>
    <t xml:space="preserve">PLATEA DE CIMENTACION.- ENCOFRADO Y DESENCOFRADO</t>
  </si>
  <si>
    <t xml:space="preserve">SOBRECIMIENTOS REFORZADOS.- ACERO DE REFUERZO fy=4,200 Kg/cm2</t>
  </si>
  <si>
    <t xml:space="preserve">VIGAS DE CIMENTACION .- CONCRETO f'c=210 Kg/cm2</t>
  </si>
  <si>
    <t xml:space="preserve">VIGAS DE CIMENTACION .- ENCOFRADO Y DESENCOFRADO</t>
  </si>
  <si>
    <t xml:space="preserve">VIGAS DE CIMENTACION.- ACERO DE REFUERZO fy=4,200 Kg/cm2</t>
  </si>
  <si>
    <t xml:space="preserve">ALAMBRE NEGRO RECOCIDO BWG N 8  </t>
  </si>
  <si>
    <t xml:space="preserve">COLUMNETAS DE CONFINAMIENTO-CONCRETO fc=175kg/cm2</t>
  </si>
  <si>
    <t xml:space="preserve">WINCHE ELECTRICO 3.6 HP DE DOS BLADES</t>
  </si>
  <si>
    <t xml:space="preserve">VIGAS - ACERO fy=4200 kg/cm²</t>
  </si>
  <si>
    <t xml:space="preserve">VIGUETAS DE CONFINAMIENTO.- CONCRETO fc=175kg/cm2</t>
  </si>
  <si>
    <t xml:space="preserve">VIGUETAS DE CONFINAMIENTO - ACERO fy=4200 kg/cm²</t>
  </si>
  <si>
    <t xml:space="preserve">LOSA ALIGERADA.- CONCRETO f'c=210 kg/cm²</t>
  </si>
  <si>
    <t xml:space="preserve">ACEITE MOTOR GASOLINA SAE 30W </t>
  </si>
  <si>
    <t xml:space="preserve">GRASA MULTIPLG EP</t>
  </si>
  <si>
    <t xml:space="preserve">lb </t>
  </si>
  <si>
    <t xml:space="preserve">GASOLINA 84 OCTANOS </t>
  </si>
  <si>
    <t xml:space="preserve">PIEDRA CHANCADA DE 1/2" - 3/4"</t>
  </si>
  <si>
    <t xml:space="preserve">ARENA GRUESA</t>
  </si>
  <si>
    <t xml:space="preserve">CEMENTO PORTLAND TIPO I (42.5 KG)</t>
  </si>
  <si>
    <t xml:space="preserve">MEZCLADORA DE CONCRETO</t>
  </si>
  <si>
    <t xml:space="preserve">VIBRADOR DE CONCRETO</t>
  </si>
  <si>
    <t xml:space="preserve">ENCOFRADO Y DESENCOFRADO NORMAL PARA LOSA ALIGERADA</t>
  </si>
  <si>
    <t xml:space="preserve">kg/dia </t>
  </si>
  <si>
    <t xml:space="preserve">kg </t>
  </si>
  <si>
    <t xml:space="preserve">und/dia </t>
  </si>
  <si>
    <t xml:space="preserve">LADRILLO ARCILLA HUECO 15 15x30x30cm</t>
  </si>
  <si>
    <t xml:space="preserve">WINCHE ELECTRICO 3.6 HP DE DOS BALDES</t>
  </si>
  <si>
    <t xml:space="preserve">LOZA MACIZA ACERO fy=4200 kg/cm²</t>
  </si>
  <si>
    <t xml:space="preserve">ESCALERAS-CONCRETO fc=210kg/cm2</t>
  </si>
  <si>
    <t xml:space="preserve">ACEITE MOTOR GASOLINA SAE 30W</t>
  </si>
  <si>
    <t xml:space="preserve">GRASA MULTIPLE EP </t>
  </si>
  <si>
    <t xml:space="preserve">lb</t>
  </si>
  <si>
    <t xml:space="preserve">WNCHE DE DOS BALDES (350KG) M.E. 3.6 HP</t>
  </si>
  <si>
    <t xml:space="preserve">ESCALERAS.- ENCOFRADO Y DESENCOFRADO</t>
  </si>
  <si>
    <t xml:space="preserve">ESCALERAS.- ACERO DE REFUERZO fy=4,200 Kg/cm2</t>
  </si>
  <si>
    <t xml:space="preserve">DISCO DE 14 PARA ACERO </t>
  </si>
  <si>
    <t xml:space="preserve">CORTADORA DE METALES 14" 2600 WATT</t>
  </si>
  <si>
    <t xml:space="preserve"> </t>
  </si>
  <si>
    <t xml:space="preserve">CEMENTO PORTLAND TIPO I (42.5 kg)</t>
  </si>
  <si>
    <t xml:space="preserve">CONCRETO PREMEZCLADO F'C=210 KG/CM2</t>
  </si>
  <si>
    <t xml:space="preserve">SERVICIO DE BOMBA PARA CONCRETO PREMEZCLADO</t>
  </si>
  <si>
    <t xml:space="preserve">VIBRADOR DE CONCRETO 4 HP 1.5"</t>
  </si>
  <si>
    <t xml:space="preserve">ALAMBRE NEGRO RECOCIDO N° 8</t>
  </si>
  <si>
    <t xml:space="preserve">CLAVOS PARA MADERA CON CABEZA</t>
  </si>
  <si>
    <t xml:space="preserve">ANDAMIO METÁLICO</t>
  </si>
  <si>
    <t xml:space="preserve">ADITIVO CURADOR DE CONCRETO</t>
  </si>
  <si>
    <t xml:space="preserve">TECNOPOR DE 1"</t>
  </si>
  <si>
    <t xml:space="preserve">SELLADOR</t>
  </si>
  <si>
    <t xml:space="preserve">CURADO DE LOSA </t>
  </si>
  <si>
    <t xml:space="preserve">CONCRETO PREMEZCLADO F'C=175 KG/CM2</t>
  </si>
  <si>
    <t xml:space="preserve">TRIPLAY DE 1.20X2.40 m X 18 mm</t>
  </si>
  <si>
    <t xml:space="preserve">FIERRO LISO GRADO 60 FY=4200 KG/CM2</t>
  </si>
  <si>
    <t xml:space="preserve">MURO DE CONTENCION PARA CERCO PERIMETRICO-ENCOFRADO Y DESENCOFRADO</t>
  </si>
  <si>
    <t xml:space="preserve">Subpartidas</t>
  </si>
  <si>
    <t xml:space="preserve">MURO DE CONTENCION - CONCRETO F'C=210 KG/CM2</t>
  </si>
  <si>
    <t xml:space="preserve">MURO DE CONTENCION - ACERO FY=4,200 KG/CM2</t>
  </si>
  <si>
    <t xml:space="preserve">COLUMNAS PARA CERCO PERIMETRICO</t>
  </si>
  <si>
    <t xml:space="preserve">COLUMNAS CERCO PERIMETRICO - ENCOFRADO Y DESENCOFRADO</t>
  </si>
  <si>
    <t xml:space="preserve">COLUMNAS CERCO PERIMETRICO - CONCRETO F'C=210 KG/CM2</t>
  </si>
  <si>
    <t xml:space="preserve">COLUMNAS CERCO PERIMETRICO- ACERO FY=4,200 KG/CM2</t>
  </si>
  <si>
    <t xml:space="preserve">VIGAS  CERCO PERIMETRICO - ENCOFRADO Y DESENCOFRADO</t>
  </si>
  <si>
    <t xml:space="preserve">VIGAS CERCO PERIMETRICO - CONCRETO F'C=210 KG/CM2</t>
  </si>
  <si>
    <t xml:space="preserve">VIGAS  CERCO PERIMETRICO- ACERO FY=4,200 KG/CM2</t>
  </si>
  <si>
    <t xml:space="preserve">COLUMNAS CERCO PERIMETRICO.- ENCOFRADO Y DESENCOFRADO</t>
  </si>
  <si>
    <t xml:space="preserve">COLUMNAS CERCO PERIMETRICO-CONCRETO fc=210kg/cm2</t>
  </si>
  <si>
    <t xml:space="preserve">COLUMNAS CERCO PERIMETRICO.- ACERO DE REFUERZO fy=4,200 Kg/cm2</t>
  </si>
  <si>
    <t xml:space="preserve">VIGAS CERCO PERIMETRICO.- ENCOFRADO Y DESENCOFRADO</t>
  </si>
  <si>
    <t xml:space="preserve">VIGAS  CERCO PERIMETRICO.- CONCRETO fc=210kg/cm2</t>
  </si>
  <si>
    <t xml:space="preserve">VIGAS  CERCO PERIMETRICO - ACERO fy=4200 kg/cm²</t>
  </si>
  <si>
    <t xml:space="preserve"> PORTADA DE INGRESO (PORTON METALICO)</t>
  </si>
  <si>
    <t xml:space="preserve">ARQUITECTURA</t>
  </si>
  <si>
    <t xml:space="preserve">MUROS DE MAMPOSTERIA</t>
  </si>
  <si>
    <t xml:space="preserve">03.01.01</t>
  </si>
  <si>
    <t xml:space="preserve">MURO DE LADRILLO KK TIPO IV SOGA M 1:4 E=1.5 CM</t>
  </si>
  <si>
    <t xml:space="preserve">03.01.02</t>
  </si>
  <si>
    <t xml:space="preserve">MURO DE LADRILLO KK TIPO IV CABEZA M 1:4 E=1.5 CM</t>
  </si>
  <si>
    <t xml:space="preserve">03.01.03</t>
  </si>
  <si>
    <t xml:space="preserve">TABIQUE DE DRYWALL E=0.15m</t>
  </si>
  <si>
    <t xml:space="preserve">03.01.04</t>
  </si>
  <si>
    <t xml:space="preserve">MELAMINE</t>
  </si>
  <si>
    <t xml:space="preserve">03.01.05</t>
  </si>
  <si>
    <t xml:space="preserve">TABLERO C.A. C/CERAMICO</t>
  </si>
  <si>
    <t xml:space="preserve">REVOQUES, ENLUCIDOS y MOLDURAS</t>
  </si>
  <si>
    <t xml:space="preserve">03.02.01</t>
  </si>
  <si>
    <t xml:space="preserve">TARRAJEO </t>
  </si>
  <si>
    <t xml:space="preserve">03.02.01.01</t>
  </si>
  <si>
    <t xml:space="preserve">TARRAJEO FROTACHADO EN MUROS INTERIORES</t>
  </si>
  <si>
    <t xml:space="preserve">03.02.01.02</t>
  </si>
  <si>
    <t xml:space="preserve">TARRAJEO FROTACHADO EN MUROS EXTERIORES</t>
  </si>
  <si>
    <t xml:space="preserve">03.02.02</t>
  </si>
  <si>
    <t xml:space="preserve">ZOCALO</t>
  </si>
  <si>
    <t xml:space="preserve">03.02.02.01</t>
  </si>
  <si>
    <t xml:space="preserve">ZOCALO DE CERAMICA 0.30x0.30</t>
  </si>
  <si>
    <t xml:space="preserve">03.02.03</t>
  </si>
  <si>
    <t xml:space="preserve">CIELO RASO</t>
  </si>
  <si>
    <t xml:space="preserve">03.02.03.01</t>
  </si>
  <si>
    <t xml:space="preserve">FALSO CIELORRADOS DE BALDOSAS DE FIBRA MINERAL DE 0.61x0.61m, e:15mm, BORDE REBAJADO, CON SISTEMA DE SUSPENSION ANTISISMICO</t>
  </si>
  <si>
    <t xml:space="preserve">03.02.03.02</t>
  </si>
  <si>
    <t xml:space="preserve">TARRAJEO DE CIELO RASO MEZCLA C:A 1:5, e=0.15cm</t>
  </si>
  <si>
    <t xml:space="preserve">PISOS Y PAVIMENTOS </t>
  </si>
  <si>
    <t xml:space="preserve">03.03.01</t>
  </si>
  <si>
    <t xml:space="preserve">CONTRAPISOS E=40MM C:A 1:4</t>
  </si>
  <si>
    <t xml:space="preserve">03.03.02</t>
  </si>
  <si>
    <t xml:space="preserve">PISO PORCELANATO ANTIDESLIZANTE 0.60x0.6OM</t>
  </si>
  <si>
    <t xml:space="preserve">03.03.03</t>
  </si>
  <si>
    <t xml:space="preserve">PISO DE BALDOSA CERAMICA 30x30</t>
  </si>
  <si>
    <t xml:space="preserve">03.03.04</t>
  </si>
  <si>
    <t xml:space="preserve">PISO DE CONCRETO E=4" - FC=175 KG7CM2 / ACABADO FROTACHADO</t>
  </si>
  <si>
    <t xml:space="preserve">03.03.05</t>
  </si>
  <si>
    <t xml:space="preserve">PISO DE CEMENTO PULIDO Y BRUÑADO E=2" S/ COLOREAR</t>
  </si>
  <si>
    <t xml:space="preserve">03.03.06</t>
  </si>
  <si>
    <t xml:space="preserve">PISO LAMINADO DE ALTO TRANSITO EN AULAS</t>
  </si>
  <si>
    <t xml:space="preserve">CONTRAZOCALOS</t>
  </si>
  <si>
    <t xml:space="preserve">03.04.01</t>
  </si>
  <si>
    <t xml:space="preserve">CONTR. S/COLOREAR H=30cm MZ 1:2 e=1.5cm</t>
  </si>
  <si>
    <t xml:space="preserve">03.04.02</t>
  </si>
  <si>
    <t xml:space="preserve">CONTRAZOCALO DE CEMENTO SEMIPULIDO CON IMPERMEABILIZANTE Y ENDURECEDOR</t>
  </si>
  <si>
    <t xml:space="preserve">03.04.03</t>
  </si>
  <si>
    <t xml:space="preserve">CONTRAZOCALO PORCELANATO ANTIDESLIZANTE H=0.10M</t>
  </si>
  <si>
    <t xml:space="preserve">03.04.04</t>
  </si>
  <si>
    <t xml:space="preserve">CONTRAZOCALO LAMINADO EN AULAS</t>
  </si>
  <si>
    <t xml:space="preserve">03.04.05</t>
  </si>
  <si>
    <t xml:space="preserve">CONTRAZOCALO DE BALDOSA CERAMICA H=30cm</t>
  </si>
  <si>
    <t xml:space="preserve">03.04.06</t>
  </si>
  <si>
    <t xml:space="preserve">CONTRAZOCALO SANITARIO TERRAZO PULIDO, H=0,10M</t>
  </si>
  <si>
    <t xml:space="preserve">CARPINTERIA</t>
  </si>
  <si>
    <t xml:space="preserve">03.05.01</t>
  </si>
  <si>
    <t xml:space="preserve">PUERTA DE MADERA ROBLE NACIONAL APANELADA TIPO MACHIMBRADA +SOBRELUZ+VIDRIO TEMPLADO DE 8MM DE 02 HOJAS+INST+ACABADO, SEGUN PLANO Y ET</t>
  </si>
  <si>
    <t xml:space="preserve">03.05.02</t>
  </si>
  <si>
    <t xml:space="preserve">VENTANA C/MARCO DE ALUMINIO SISTEMA CORREDIZO TIPO SERIE 3160 + VIDRIOS INCOLORO TEMPLADO DE 8MM+ACCESORIO + ACCESORIO+ INSTALACION, SEGUN PLANO Y ESPECIFICACIONES TECNICAS</t>
  </si>
  <si>
    <t xml:space="preserve">03.05.03</t>
  </si>
  <si>
    <t xml:space="preserve">MAMPARA DE ALUMINIO+VIDRIO INCOLORO TEMPLADO 8MM+ACCESORIOS+INSTALACION,SEGUN PLANO Y ESPECIFICACIONES TECNICAS</t>
  </si>
  <si>
    <t xml:space="preserve">03.05.04</t>
  </si>
  <si>
    <t xml:space="preserve">PARASOLES</t>
  </si>
  <si>
    <t xml:space="preserve">03.05.05</t>
  </si>
  <si>
    <t xml:space="preserve">PERSIANA METALICA</t>
  </si>
  <si>
    <t xml:space="preserve">PINTURA </t>
  </si>
  <si>
    <t xml:space="preserve">03.06.01</t>
  </si>
  <si>
    <t xml:space="preserve">PINTURA LATEX PARA INTERIOR - 2 MANOS (MUROS, TECHOS, VIGAS Y COLUMNAS)</t>
  </si>
  <si>
    <t xml:space="preserve">03.06.02</t>
  </si>
  <si>
    <t xml:space="preserve">PINTURA OLEO PARA EXTERIORES - 2 MANOS</t>
  </si>
  <si>
    <t xml:space="preserve">03.07.01</t>
  </si>
  <si>
    <t xml:space="preserve">03.07.01.01</t>
  </si>
  <si>
    <t xml:space="preserve">SUMINISTRO Y PREPARACIÓN DE TIERRA DE CHACRA</t>
  </si>
  <si>
    <t xml:space="preserve">03.07.01.02</t>
  </si>
  <si>
    <t xml:space="preserve">SUMINISTRO Y SEMBRIO DE ARBUSTOS</t>
  </si>
  <si>
    <t xml:space="preserve">03.07.01.03</t>
  </si>
  <si>
    <t xml:space="preserve">SUMINISTRO Y SEMBRIO DE ARBOLES</t>
  </si>
  <si>
    <t xml:space="preserve">03.07.02</t>
  </si>
  <si>
    <t xml:space="preserve">03.07.02.01</t>
  </si>
  <si>
    <t xml:space="preserve">PINTURA DE LINEAS EN LOSA DEPORTIVA</t>
  </si>
  <si>
    <t xml:space="preserve">03.07.03</t>
  </si>
  <si>
    <t xml:space="preserve">PATIO DE FORMACIÓN </t>
  </si>
  <si>
    <t xml:space="preserve">03.07.03.01</t>
  </si>
  <si>
    <t xml:space="preserve">PINTURA DE LINEAS EN PATIO DE INICIAL</t>
  </si>
  <si>
    <t xml:space="preserve">03.07.04</t>
  </si>
  <si>
    <t xml:space="preserve">03.07.04.01</t>
  </si>
  <si>
    <t xml:space="preserve">ACABADO FROTACHADO Y BRUÑADO EN VEREDAS</t>
  </si>
  <si>
    <t xml:space="preserve">03.07.05</t>
  </si>
  <si>
    <t xml:space="preserve">03.07.05.01</t>
  </si>
  <si>
    <t xml:space="preserve">ACABADO CEPILLADO </t>
  </si>
  <si>
    <t xml:space="preserve">03.07.06</t>
  </si>
  <si>
    <t xml:space="preserve">03.07.06.01</t>
  </si>
  <si>
    <t xml:space="preserve">03.07.07</t>
  </si>
  <si>
    <t xml:space="preserve">03.07.07.01</t>
  </si>
  <si>
    <t xml:space="preserve">MURO DE LADRILLO</t>
  </si>
  <si>
    <t xml:space="preserve">03.07.07.02</t>
  </si>
  <si>
    <t xml:space="preserve">TARRAJEO COLUMNAS Y PLACAS</t>
  </si>
  <si>
    <t xml:space="preserve">03.07.07.03</t>
  </si>
  <si>
    <t xml:space="preserve">TARRAJEO DE VIGAS</t>
  </si>
  <si>
    <t xml:space="preserve">03.07.07.04</t>
  </si>
  <si>
    <t xml:space="preserve">PINTURA DE MUROS</t>
  </si>
  <si>
    <t xml:space="preserve">03.07.08</t>
  </si>
  <si>
    <t xml:space="preserve">03.07.08.01</t>
  </si>
  <si>
    <t xml:space="preserve">03.07.09</t>
  </si>
  <si>
    <t xml:space="preserve">COBERTURAS</t>
  </si>
  <si>
    <t xml:space="preserve">03.07.09.01</t>
  </si>
  <si>
    <t xml:space="preserve">COBERTURA LIVIANA DE LOSA DEPORTIVA</t>
  </si>
  <si>
    <t xml:space="preserve">03.07.09.02</t>
  </si>
  <si>
    <t xml:space="preserve">COBERTURA LIVIANA DE PATIO DE INICIAL</t>
  </si>
  <si>
    <t xml:space="preserve">COLUMNETAS - CONCRETO f'c=210 kg/cm²</t>
  </si>
  <si>
    <t xml:space="preserve">LADRILLO KK TIPO IV 24X13X9 CM</t>
  </si>
  <si>
    <t xml:space="preserve">ANDAMIO METALICO HOMOLOGADO </t>
  </si>
  <si>
    <t xml:space="preserve">d</t>
  </si>
  <si>
    <t xml:space="preserve">COLUMNETAS - CONCRETO F'C= 210 kg/cm2</t>
  </si>
  <si>
    <t xml:space="preserve">COLUMNETAS - ENCOFRADO Y DESENCOFRADO</t>
  </si>
  <si>
    <t xml:space="preserve">COLUMNETAS - ACERO DE REFUERZO Fy= 4200 kg/cm2</t>
  </si>
  <si>
    <t xml:space="preserve">VIGUETAS - CONCRETO F'C= 210 kg/cm2</t>
  </si>
  <si>
    <t xml:space="preserve">COLUMNETAS - ENCOFRADO Y DESENCOFRADO NORMAL</t>
  </si>
  <si>
    <t xml:space="preserve">VIGUETAS - ENCOFRADO Y DESENCOFRADO</t>
  </si>
  <si>
    <t xml:space="preserve">VIGUETAS - ACERO DE REFUERZO Fy= 4200 kg/cm2</t>
  </si>
  <si>
    <t xml:space="preserve">JUNTAS CON ESPUMA PLASTICO + SELLO ELASTOMERICO DE POLIURETANO E=0.15M</t>
  </si>
  <si>
    <t xml:space="preserve">COLUMNETAS - ACERO fy=4200 kg/cm²</t>
  </si>
  <si>
    <t xml:space="preserve">CAPATAZ </t>
  </si>
  <si>
    <t xml:space="preserve">VIGUETAS - CONCRETO f'c=210 kg/cm²</t>
  </si>
  <si>
    <t xml:space="preserve">ANGULO ESQUINERO DE ACERO 30x30x0.30mm, L=2.40m</t>
  </si>
  <si>
    <t xml:space="preserve">CLAVOS DISPARO 3.7x3.8mm</t>
  </si>
  <si>
    <t xml:space="preserve">PARANTE DE FoGo 89x38x0.45mm, L=3.00m</t>
  </si>
  <si>
    <t xml:space="preserve">CINTA DE PAPEL PARA JUNTAS 2"x75m</t>
  </si>
  <si>
    <t xml:space="preserve">MASILLA PARA DRYWALL (25Kg)</t>
  </si>
  <si>
    <t xml:space="preserve">TORNILLO AUTORROSCANTE 1/2"x4mm</t>
  </si>
  <si>
    <t xml:space="preserve">TORNILLOS VOLCANITA 6x1"</t>
  </si>
  <si>
    <t xml:space="preserve">PLACA DE YESO ESTANDAR GYPLAC e=5/8", 1.22 m x 2.44m</t>
  </si>
  <si>
    <t xml:space="preserve">RIEL DE FoGo 90x25x0.45mm, L=3.00m</t>
  </si>
  <si>
    <t xml:space="preserve">VIGUETAS - ENCOFRADO y DESENCOFRADO</t>
  </si>
  <si>
    <t xml:space="preserve">TORNILLO AUTOROSCANTE CABEZA AVELLANADA 1/2"</t>
  </si>
  <si>
    <t xml:space="preserve">MELAMINE 18MM (1.80X2.50)</t>
  </si>
  <si>
    <t xml:space="preserve">PARANTE DE ALUMINIO DE 38.10X25.40X2.00MM</t>
  </si>
  <si>
    <t xml:space="preserve">BASTIDOR DE ALUMINIO DE 39.70X25.40X2.00MM</t>
  </si>
  <si>
    <t xml:space="preserve">TABLERO C.A.C/CERAMICO</t>
  </si>
  <si>
    <t xml:space="preserve">VIGUETAS - ACERO fy=4200 kg/cm²</t>
  </si>
  <si>
    <t xml:space="preserve">ACERO CORRUGADO FY=4200 KG/CM2 GRADO 60</t>
  </si>
  <si>
    <t xml:space="preserve">ARENA FINA</t>
  </si>
  <si>
    <t xml:space="preserve">CEMENTO PORTLAND TIPO I (42.5KG)</t>
  </si>
  <si>
    <t xml:space="preserve">CERAMICO 20X30 CM </t>
  </si>
  <si>
    <t xml:space="preserve">FRAGUA PARA CERAMICO</t>
  </si>
  <si>
    <t xml:space="preserve">RODOPLAST</t>
  </si>
  <si>
    <t xml:space="preserve">MADERA ROBLE NACIONAL </t>
  </si>
  <si>
    <t xml:space="preserve">TRIPLAY LUPUNA DE 4' X 8' X 9MM</t>
  </si>
  <si>
    <t xml:space="preserve">pl</t>
  </si>
  <si>
    <t xml:space="preserve">IMPRIMANTE APLICACIÖN ELASTOMERICA POLIURETANO</t>
  </si>
  <si>
    <t xml:space="preserve">CINTA MASKINGTAPE</t>
  </si>
  <si>
    <t xml:space="preserve">TECKNOPOR DE 1"x4'x8'</t>
  </si>
  <si>
    <t xml:space="preserve">plan</t>
  </si>
  <si>
    <t xml:space="preserve">SELLO ELASTOMERICO DE POLIURETANO</t>
  </si>
  <si>
    <t xml:space="preserve">BACKER ROOD 1 1/4" ESPUMA</t>
  </si>
  <si>
    <t xml:space="preserve">TARRAJEO FROTACHADO EN MUROS INTERIORES </t>
  </si>
  <si>
    <t xml:space="preserve">CEMENTO PORTLAND TIPO I (BLS.:42.5 KG) EL SOL </t>
  </si>
  <si>
    <t xml:space="preserve">CAL HIDRATADA EN BOLSA 30 kg</t>
  </si>
  <si>
    <t xml:space="preserve">REGLA DE MADERA</t>
  </si>
  <si>
    <t xml:space="preserve">MADERA ANDAMIAJE</t>
  </si>
  <si>
    <t xml:space="preserve">CLAVO C/CABEZA P/CONSTRUCCION D. PROMEDIO</t>
  </si>
  <si>
    <t xml:space="preserve">PORCELANA BLANCA</t>
  </si>
  <si>
    <t xml:space="preserve">PEGAMENTO CHEMAYOLIC CERAMICOS PORCELANATOS Y GRES
PORCELAN-25 KG</t>
  </si>
  <si>
    <t xml:space="preserve">PISO BALDOSA CERAMICA</t>
  </si>
  <si>
    <t xml:space="preserve">CRUCETAS (200 und)</t>
  </si>
  <si>
    <t xml:space="preserve">REGLA DE ALUMINIO 2" X 4" X 10"</t>
  </si>
  <si>
    <t xml:space="preserve">FALSO CIELO RASO CON PLANCHA DE DRYWALL BALDOSA ACUSTICA AMF ECOMIN PLANET</t>
  </si>
  <si>
    <t xml:space="preserve">ALAMBRE GALVANIZADO N°12</t>
  </si>
  <si>
    <t xml:space="preserve">ÁNGULO PERIMETRAL METÁLICO SUPRAFINE XL 9/16", LONG. 9.8'</t>
  </si>
  <si>
    <t xml:space="preserve">SUSPENSIÓN METÁLICA TERCIARIA SUPRAFINE XL 9/16", LONG. 2'</t>
  </si>
  <si>
    <t xml:space="preserve">SUSPENSIÓN METÁLICA SECUNDARIA SUPRAFINE XL 9/16", LONG. 4'</t>
  </si>
  <si>
    <t xml:space="preserve">SUSPENSIÓN METÁLICA PRINCIPAL SUPRAFINE XL 9/16", LONG. 4'</t>
  </si>
  <si>
    <t xml:space="preserve">TORNILLO DE FIJACIÓN Y TARUGOS P/F CIELO RASO</t>
  </si>
  <si>
    <t xml:space="preserve">BALDOSAS DE FIBRA MINERAL 0.60X0.60 M, E=14 MM</t>
  </si>
  <si>
    <t xml:space="preserve">ANDAMIO METALICO</t>
  </si>
  <si>
    <t xml:space="preserve">m2/dia </t>
  </si>
  <si>
    <t xml:space="preserve">ARENA FINA </t>
  </si>
  <si>
    <t xml:space="preserve">CLAVOS PROMEDIO P/CONSTRUCCION </t>
  </si>
  <si>
    <t xml:space="preserve">MEZCLADORA DE CONCRETO 11 P3 (23 HP)						</t>
  </si>
  <si>
    <t xml:space="preserve">PEGAMENTO EN POLVO PARA CERAMICOS (BOLSA 25KG)</t>
  </si>
  <si>
    <t xml:space="preserve">bal</t>
  </si>
  <si>
    <t xml:space="preserve">PORCELANATO ANTIDESLIZANTE ALTO TRANSITO  60 X 60 cm</t>
  </si>
  <si>
    <t xml:space="preserve">CRUCETAS DE PLASTICO 3mm (BOL DE 200 und)</t>
  </si>
  <si>
    <t xml:space="preserve">PISO DE CEMENTO SEMIPULIDO Y BRUÑADO</t>
  </si>
  <si>
    <t xml:space="preserve">PULIDOR DE PISO </t>
  </si>
  <si>
    <t xml:space="preserve">PISO LAMINADO DE ALTO TRANSITO EN AULAS </t>
  </si>
  <si>
    <t xml:space="preserve">SUMINISTRO E INSTALACIÓN DE PISO LAMINADO</t>
  </si>
  <si>
    <t xml:space="preserve">MORTERO TARRAJEO EMBOLSADO (40 kg)</t>
  </si>
  <si>
    <t xml:space="preserve">ADITIVO IMPERMEABILIZANTE (20 L)</t>
  </si>
  <si>
    <t xml:space="preserve">bld</t>
  </si>
  <si>
    <t xml:space="preserve">ADITIVO ENDURECEDOR DE PISO</t>
  </si>
  <si>
    <t xml:space="preserve">CEMENTO BLANCO BOLSA 25 KG</t>
  </si>
  <si>
    <t xml:space="preserve">MARMOLINA N°01 (BOLSA DE 25 KG)</t>
  </si>
  <si>
    <t xml:space="preserve">GRANALLA</t>
  </si>
  <si>
    <t xml:space="preserve">LIJA P/MADERA</t>
  </si>
  <si>
    <t xml:space="preserve">PINTURA LATEX LAVABLE </t>
  </si>
  <si>
    <t xml:space="preserve">SELLADOR BLANCO PARA MUROS </t>
  </si>
  <si>
    <t xml:space="preserve">CINTA MAKINGTAPE</t>
  </si>
  <si>
    <t xml:space="preserve">PASTA MURAL </t>
  </si>
  <si>
    <t xml:space="preserve">PINTURA OLEO</t>
  </si>
  <si>
    <t xml:space="preserve">AGUARRAS</t>
  </si>
  <si>
    <t xml:space="preserve">SELLADOR BLANCO PARA MUROS</t>
  </si>
  <si>
    <t xml:space="preserve">PASTA MURAL</t>
  </si>
  <si>
    <t xml:space="preserve">TIERRA DE CHACRA</t>
  </si>
  <si>
    <t xml:space="preserve">ARBUSTOS LOCALES</t>
  </si>
  <si>
    <t xml:space="preserve">ARBOL</t>
  </si>
  <si>
    <t xml:space="preserve">PINTURA INDUSTRIAL COLOR AMARILLO </t>
  </si>
  <si>
    <t xml:space="preserve">XILOL</t>
  </si>
  <si>
    <t xml:space="preserve">PINTURA DE LINEAS EN PATIO DE FORMACION </t>
  </si>
  <si>
    <t xml:space="preserve">ACABADO CEPILLADO</t>
  </si>
  <si>
    <t xml:space="preserve">MURO DE LADRILLO </t>
  </si>
  <si>
    <t xml:space="preserve">MADERA CEDRO</t>
  </si>
  <si>
    <t xml:space="preserve">TARRAJEO DE VIGAS </t>
  </si>
  <si>
    <t xml:space="preserve">PINTURA DE MUROS </t>
  </si>
  <si>
    <t xml:space="preserve">PLANCHA DE ACERO LAC 1/8" (3mm)</t>
  </si>
  <si>
    <t xml:space="preserve">PINTURA ESMALTE</t>
  </si>
  <si>
    <t xml:space="preserve">PINTURA ANTICORROSIVA</t>
  </si>
  <si>
    <t xml:space="preserve">TUBERIA DE FIERRO N° 2" STANDARD</t>
  </si>
  <si>
    <t xml:space="preserve">TUBERIA DE FIERRO N° 3" STANDARD</t>
  </si>
  <si>
    <t xml:space="preserve">TUBERIA DE FIERRO N° 4" STANDARD</t>
  </si>
  <si>
    <t xml:space="preserve">CUERDA DE NYLON</t>
  </si>
  <si>
    <t xml:space="preserve">ARANDELA PLANA DE 1/2"</t>
  </si>
  <si>
    <t xml:space="preserve">PERNO 1/2" x 3" CON TUERCA</t>
  </si>
  <si>
    <t xml:space="preserve">ELECTRODO TIPO 6011</t>
  </si>
  <si>
    <t xml:space="preserve">COBERTURA LIVIANA DE PATIO DE FORMACION</t>
  </si>
  <si>
    <t xml:space="preserve">INSTALACIONES SANITARIAS </t>
  </si>
  <si>
    <t xml:space="preserve">APARATOS SANITARIOS</t>
  </si>
  <si>
    <t xml:space="preserve">04.01.01</t>
  </si>
  <si>
    <t xml:space="preserve">INODORO </t>
  </si>
  <si>
    <t xml:space="preserve">04.01.02</t>
  </si>
  <si>
    <t xml:space="preserve">URINARIO </t>
  </si>
  <si>
    <t xml:space="preserve">04.01.03</t>
  </si>
  <si>
    <t xml:space="preserve">LAVATORIO </t>
  </si>
  <si>
    <t xml:space="preserve">04.01.04</t>
  </si>
  <si>
    <t xml:space="preserve">LAVADEROS DE LIMPIEZA DE MAMPOSTERIA DE LADRILLO REVESTIDO CON CERAMICA + GRIFERIA</t>
  </si>
  <si>
    <t xml:space="preserve">SALIDAS DE AGUA </t>
  </si>
  <si>
    <t xml:space="preserve">04.02.01</t>
  </si>
  <si>
    <t xml:space="preserve">SALIDA DE AGUA FRIA PVC INC. TUBERIA Y ACCESORIOS 1/2" </t>
  </si>
  <si>
    <t xml:space="preserve">04.02.02</t>
  </si>
  <si>
    <t xml:space="preserve">SALIDA DE AGUA CALIENTE, CON TUBERIA CPVC (PROMEDIO) </t>
  </si>
  <si>
    <t xml:space="preserve">VALVULAS  </t>
  </si>
  <si>
    <t xml:space="preserve">04.03.01</t>
  </si>
  <si>
    <t xml:space="preserve">VALVULAS COMPUERTAS, ESFERICAS Y CAJAS PARA VALVULAS</t>
  </si>
  <si>
    <t xml:space="preserve">EXTINTORES Y GABINETES</t>
  </si>
  <si>
    <t xml:space="preserve">04.04.01</t>
  </si>
  <si>
    <t xml:space="preserve">SALIDAS DRENAJE PLUVIAL </t>
  </si>
  <si>
    <t xml:space="preserve">04.05.01</t>
  </si>
  <si>
    <t xml:space="preserve">DRENAJE PLUVIAL </t>
  </si>
  <si>
    <t xml:space="preserve">DESAGÜE </t>
  </si>
  <si>
    <t xml:space="preserve">04.06.01</t>
  </si>
  <si>
    <t xml:space="preserve">SALIDA DE DESAGUE  PVC-SAL 2"</t>
  </si>
  <si>
    <t xml:space="preserve">04.06.02</t>
  </si>
  <si>
    <t xml:space="preserve">SALIDA DE DESAGUE  PVC-SAL 4"</t>
  </si>
  <si>
    <t xml:space="preserve">VENTILACIÓN</t>
  </si>
  <si>
    <t xml:space="preserve">04.07.01</t>
  </si>
  <si>
    <t xml:space="preserve">SALIDA DE VENTILACION (PROMEDIO) </t>
  </si>
  <si>
    <t xml:space="preserve">ACCESORIOS</t>
  </si>
  <si>
    <t xml:space="preserve">04.08.01</t>
  </si>
  <si>
    <t xml:space="preserve">MEZCLADORA DE DUCHA </t>
  </si>
  <si>
    <t xml:space="preserve">04.08.02</t>
  </si>
  <si>
    <t xml:space="preserve">JABONERA DE LOSA PARA EMPOTRAR </t>
  </si>
  <si>
    <t xml:space="preserve">04.09.01</t>
  </si>
  <si>
    <t xml:space="preserve">Glb</t>
  </si>
  <si>
    <t xml:space="preserve">04.09.02</t>
  </si>
  <si>
    <t xml:space="preserve">04.09.03</t>
  </si>
  <si>
    <t xml:space="preserve">URINARIO</t>
  </si>
  <si>
    <t xml:space="preserve">LAVATORIO</t>
  </si>
  <si>
    <t xml:space="preserve">PEGAMENTO PVC AZUL 128 ONZAS - OATEY</t>
  </si>
  <si>
    <t xml:space="preserve">TUBO PVC AGUA S.P. CLASE 10 1/2" X 5m</t>
  </si>
  <si>
    <t xml:space="preserve">CODO PVC AGUA DOBLE CAMPANA S.P. 1/2" X 90°</t>
  </si>
  <si>
    <t xml:space="preserve">TEE PVC AGUA S.P. 1/2"</t>
  </si>
  <si>
    <t xml:space="preserve">PEGAMENTO P/TUBO CPVC ML </t>
  </si>
  <si>
    <t xml:space="preserve">TUBO CPVC AGUA CALIENTE S.P. 1/2" X 5m</t>
  </si>
  <si>
    <t xml:space="preserve">CODO ACERO GALV. TIPO ISO I 1/2" X 90°</t>
  </si>
  <si>
    <t xml:space="preserve">CODO CPVC AGUA CALIENTE S.P/ 1/2" X 90°</t>
  </si>
  <si>
    <t xml:space="preserve">TEE CPVC AGUA CALIENTE S.P/ 1/2"</t>
  </si>
  <si>
    <t xml:space="preserve">CO2, DIOXIDO DE CARBONO - 10 LBS. Incluye gabinete</t>
  </si>
  <si>
    <t xml:space="preserve">GRAVA DE 1/2"</t>
  </si>
  <si>
    <t xml:space="preserve">TUBERIA PVC-SAP 3"</t>
  </si>
  <si>
    <t xml:space="preserve">REJILLA BRONCE Ø 3" ROSCADA</t>
  </si>
  <si>
    <t xml:space="preserve">SALIDA DE DESAGÜE PVC-SAL 2"</t>
  </si>
  <si>
    <t xml:space="preserve">TUBO PVC DESAGUE SAL 2" X 3 M PAVCO</t>
  </si>
  <si>
    <t xml:space="preserve">CODO PVC DESAGUE SAL 2" X 90°</t>
  </si>
  <si>
    <t xml:space="preserve">YEE PVC DESAGUE SAL 2"</t>
  </si>
  <si>
    <t xml:space="preserve">TRAMPA P PVC DESAGUE SAL 2"</t>
  </si>
  <si>
    <t xml:space="preserve">SALIDA DE DESAGÜE PVC-SAL 4"</t>
  </si>
  <si>
    <t xml:space="preserve">TUBO PVC DESAGUE SAL 4" X 3 M PAVCO</t>
  </si>
  <si>
    <t xml:space="preserve">CODO PVC DESAGUE SAL 4" X 90°</t>
  </si>
  <si>
    <t xml:space="preserve">YEE PVC DESAGUE SAL 4"</t>
  </si>
  <si>
    <t xml:space="preserve">SALIDA DE VENTILACION(PROMEDIO) </t>
  </si>
  <si>
    <t xml:space="preserve">CODO VENTILACION PVC DESAGUE SAL 4" A 2"</t>
  </si>
  <si>
    <t xml:space="preserve">MEZCLADORA DE DUCHA C/GRIFERIA Y BRAZO</t>
  </si>
  <si>
    <t xml:space="preserve">CEMENTO BLANCO </t>
  </si>
  <si>
    <t xml:space="preserve">SISTEMA DE BOMBEO DE PRESION CONSTANTE</t>
  </si>
  <si>
    <t xml:space="preserve">INSTALACIONES SANITARIAS EXTERIORES INC. CANALETAS DE EVACUACION PLUVIAL </t>
  </si>
  <si>
    <t xml:space="preserve">INSTALACIONES ELECTRICAS</t>
  </si>
  <si>
    <t xml:space="preserve">SALIDAS</t>
  </si>
  <si>
    <t xml:space="preserve">05.01.01</t>
  </si>
  <si>
    <t xml:space="preserve">SALIDAS PARA ALUMBRADO, TOMACORRIENTES, FUERZA Y SEÑALES DÉBILES</t>
  </si>
  <si>
    <t xml:space="preserve">05.01.02</t>
  </si>
  <si>
    <t xml:space="preserve">SALIDAS PARA TOMACORRIENTES</t>
  </si>
  <si>
    <t xml:space="preserve">05.01.03</t>
  </si>
  <si>
    <t xml:space="preserve">SALIDAS PARA FUERZA Y SEÑALES DÉBILES</t>
  </si>
  <si>
    <t xml:space="preserve">05.01.04</t>
  </si>
  <si>
    <t xml:space="preserve">SALIDAS TRIFÁSICAS</t>
  </si>
  <si>
    <t xml:space="preserve">LÁMPARAS</t>
  </si>
  <si>
    <t xml:space="preserve">05.02.01</t>
  </si>
  <si>
    <t xml:space="preserve">ARTEFACTO DE ILUMINACIÓN P = 63 W L = 8000 LM</t>
  </si>
  <si>
    <t xml:space="preserve">05.02.02</t>
  </si>
  <si>
    <t xml:space="preserve">INSTALACIÓN DE ARTEFACTO DE ILUMINACIÓN, P=63 W L=8000 LM</t>
  </si>
  <si>
    <t xml:space="preserve">05.02.03</t>
  </si>
  <si>
    <t xml:space="preserve">PROYECTOR Y PANTALLA</t>
  </si>
  <si>
    <t xml:space="preserve">05.02.04</t>
  </si>
  <si>
    <t xml:space="preserve">EXTRACTORES DE AIRE</t>
  </si>
  <si>
    <t xml:space="preserve">05.02.05</t>
  </si>
  <si>
    <t xml:space="preserve">SISTEMA DE BAJA TENSIÓN</t>
  </si>
  <si>
    <t xml:space="preserve">05.02.06</t>
  </si>
  <si>
    <t xml:space="preserve">SISTEMA DE MEDIA TENSIÓN</t>
  </si>
  <si>
    <t xml:space="preserve">SALIDAS PARA ALUMBRADO</t>
  </si>
  <si>
    <t xml:space="preserve">TUBERÍA ELÉCTRICA SAP GRIS 3/4" X3 METROS NICOLL</t>
  </si>
  <si>
    <t xml:space="preserve">CURVA SAP 3/4" NICOLL</t>
  </si>
  <si>
    <t xml:space="preserve">UNIÓN SAP 3/4" NICOLL</t>
  </si>
  <si>
    <t xml:space="preserve">CONEXIÓN A CAJA PVC ELÉCTRICA SAP 3/4"</t>
  </si>
  <si>
    <t xml:space="preserve">CINTA AISLANTE ELÉCTRICA</t>
  </si>
  <si>
    <t xml:space="preserve">CAJA DE PASE OCTOGONAL F.G. PESADA 4"</t>
  </si>
  <si>
    <t xml:space="preserve">ALAMBRE TW 14 AWG</t>
  </si>
  <si>
    <t xml:space="preserve">SALIDAS PARA TOMACORRIENTE</t>
  </si>
  <si>
    <t xml:space="preserve">TOMACORRIENTE DOBLE UNIVERSAL 2 POLOS 10A 250VAC</t>
  </si>
  <si>
    <t xml:space="preserve">CAJA DE PASE RECTANGULAR F.G. PESADA 50 x100 mm</t>
  </si>
  <si>
    <t xml:space="preserve">SALIDAS PARA FUERZAS Y SEÑALES DEBILES</t>
  </si>
  <si>
    <t xml:space="preserve">CAJA DE PASE RECTANGULAR F.G. LIVIANA 50 x100 mm</t>
  </si>
  <si>
    <t xml:space="preserve">SALIDA TRIFASICA</t>
  </si>
  <si>
    <t xml:space="preserve">ptp/dia</t>
  </si>
  <si>
    <t xml:space="preserve">un/dia</t>
  </si>
  <si>
    <t xml:space="preserve">ARTEFACTO DE ILUMINACIÓN P=63W</t>
  </si>
  <si>
    <t xml:space="preserve">CINTA AISLANTE 20 MM X 1700</t>
  </si>
  <si>
    <t xml:space="preserve">CINTILLOS AMARRACABLE 4.8 MM X 250 MM</t>
  </si>
  <si>
    <t xml:space="preserve">ESCALERA DE FIBRA DE ALUMINIO</t>
  </si>
  <si>
    <t xml:space="preserve">PROYECTOR Y PANTALLA </t>
  </si>
  <si>
    <t xml:space="preserve">SALIDA PROYECTOR </t>
  </si>
  <si>
    <t xml:space="preserve">SALIDA PARA EXTRACTOR DE AIRE</t>
  </si>
  <si>
    <t xml:space="preserve">CAJA OCTOGONAL DE F° G° PESADO 100x55 MM</t>
  </si>
  <si>
    <t xml:space="preserve">TUBERÍA PVC SAP 20 MM</t>
  </si>
  <si>
    <t xml:space="preserve">CURVA SAP 1/2" NICOLL</t>
  </si>
  <si>
    <t xml:space="preserve">CONECTOR A CAJA PVC SAP 20 MM</t>
  </si>
  <si>
    <t xml:space="preserve">INSTALACIONES COMUNICACIONES </t>
  </si>
  <si>
    <t xml:space="preserve">CANALIZACIÓN, CONDUCTOS Y/O TUBERÍAS</t>
  </si>
  <si>
    <t xml:space="preserve">06.01.01</t>
  </si>
  <si>
    <t xml:space="preserve">INSTALACION DE PUNTOS DE RED EN PISO</t>
  </si>
  <si>
    <t xml:space="preserve">06.01.02</t>
  </si>
  <si>
    <t xml:space="preserve">INSTALACION DE PUNTOS DE RED EN PARED</t>
  </si>
  <si>
    <t xml:space="preserve">06.01.03</t>
  </si>
  <si>
    <t xml:space="preserve">INSTALACION DE PUNTOS DE RED EN CIELO RASO</t>
  </si>
  <si>
    <t xml:space="preserve">06.01.04</t>
  </si>
  <si>
    <t xml:space="preserve">TUBERIA PVC-P ELÉCTRICA Ø50mm, NTP 339.006</t>
  </si>
  <si>
    <t xml:space="preserve">06.01.05</t>
  </si>
  <si>
    <t xml:space="preserve">TUBERIA PVC-P ELÉCTRICA Ø40mm, NTP 339.006</t>
  </si>
  <si>
    <t xml:space="preserve">06.01.06</t>
  </si>
  <si>
    <t xml:space="preserve">TUBERIA PVC-P ELÉCTRICA Ø25mm, NTP 339.006</t>
  </si>
  <si>
    <t xml:space="preserve">06.01.07</t>
  </si>
  <si>
    <t xml:space="preserve">TUBERIA PVC-P ELÉCTRICA Ø15mm, NTP 339.006</t>
  </si>
  <si>
    <t xml:space="preserve">06.01.08</t>
  </si>
  <si>
    <t xml:space="preserve">CAJA DE PASE FºGº 300x300x100mm</t>
  </si>
  <si>
    <t xml:space="preserve">06.01.09</t>
  </si>
  <si>
    <t xml:space="preserve">CAJA DE PASE FºGº 200x200x100mm</t>
  </si>
  <si>
    <t xml:space="preserve">06.01.10</t>
  </si>
  <si>
    <t xml:space="preserve">CAJA DE PASE FºGº 100x100x100mm</t>
  </si>
  <si>
    <t xml:space="preserve">06.01.11</t>
  </si>
  <si>
    <t xml:space="preserve">BANDEJA PORTACABLE 200x54 P/COMUNICACIÓN</t>
  </si>
  <si>
    <t xml:space="preserve">SISTEMA ESTRUCTURADO Y NETWORKING</t>
  </si>
  <si>
    <t xml:space="preserve">06.02.01</t>
  </si>
  <si>
    <t xml:space="preserve">SUMINISTRO E INSTALACIÓN DE RECEPTOR MO ISP</t>
  </si>
  <si>
    <t xml:space="preserve">06.02.02</t>
  </si>
  <si>
    <t xml:space="preserve">SUMINISTRO E INSTALACIÓN DE ROUTER</t>
  </si>
  <si>
    <t xml:space="preserve">06.02.03</t>
  </si>
  <si>
    <t xml:space="preserve">SUMINISTRO E INSTALACION SWITCH GIGABIT 48 PORT</t>
  </si>
  <si>
    <t xml:space="preserve">06.02.04</t>
  </si>
  <si>
    <t xml:space="preserve">SUMINISTRO E INSTALACION DE PATCH PANEL 48 PORT</t>
  </si>
  <si>
    <t xml:space="preserve">06.02.05</t>
  </si>
  <si>
    <t xml:space="preserve">SUMINISTRO E INSTALACION DE SERVIDOR</t>
  </si>
  <si>
    <t xml:space="preserve">06.02.06</t>
  </si>
  <si>
    <t xml:space="preserve">SUMINISTRO E INSTALACION DE SERVIDOR NVR</t>
  </si>
  <si>
    <t xml:space="preserve">06.02.07</t>
  </si>
  <si>
    <t xml:space="preserve">SUMINISTRO E INSTALACION DE SWITH POE 16 PORT</t>
  </si>
  <si>
    <t xml:space="preserve">06.02.08</t>
  </si>
  <si>
    <t xml:space="preserve">SUMINISTRO E INSTALACION DE PATCH PANEL 24 PORT</t>
  </si>
  <si>
    <t xml:space="preserve">06.02.09</t>
  </si>
  <si>
    <t xml:space="preserve">SUMINISTRO E INSTALACION DE BANDEJA 19"</t>
  </si>
  <si>
    <t xml:space="preserve">06.02.10</t>
  </si>
  <si>
    <t xml:space="preserve">SUMINISTRO E INSTALACION DE BANDEJA EQUIPO ALARMAS</t>
  </si>
  <si>
    <t xml:space="preserve">06.02.11</t>
  </si>
  <si>
    <t xml:space="preserve">SUMINISTRO E INSTALACION DE BANDEJA TELEFONIA IP PBX</t>
  </si>
  <si>
    <t xml:space="preserve">06.02.12</t>
  </si>
  <si>
    <t xml:space="preserve">06.02.13</t>
  </si>
  <si>
    <t xml:space="preserve">SUMINISTRO E INSTALACION DE UPS 3 KVA, MONOFASICO / 2 RU</t>
  </si>
  <si>
    <t xml:space="preserve">06.02.14</t>
  </si>
  <si>
    <t xml:space="preserve">CONEXIÓN DE GABINETE DE PISO 42 RU</t>
  </si>
  <si>
    <t xml:space="preserve">06.02.15</t>
  </si>
  <si>
    <t xml:space="preserve">CONEXIÓN DE GABINETE 42RU Y COMPONENTES DE REDES</t>
  </si>
  <si>
    <t xml:space="preserve">SISTEMA CCTV</t>
  </si>
  <si>
    <t xml:space="preserve">06.03.01</t>
  </si>
  <si>
    <t xml:space="preserve">SERVIDOR NVR 1RU</t>
  </si>
  <si>
    <t xml:space="preserve">06.03.02</t>
  </si>
  <si>
    <t xml:space="preserve">VIDEOCAMARA TUBULAR IP</t>
  </si>
  <si>
    <t xml:space="preserve">06.03.03</t>
  </si>
  <si>
    <t xml:space="preserve">VIDEOCAMARA DOMO IP</t>
  </si>
  <si>
    <t xml:space="preserve">SISTEMA MEGAFONÍA (PERIFONEO)</t>
  </si>
  <si>
    <t xml:space="preserve">06.04.01</t>
  </si>
  <si>
    <t xml:space="preserve">AMPLIFICADOR DE AUDIO DE 100W</t>
  </si>
  <si>
    <t xml:space="preserve">06.04.02</t>
  </si>
  <si>
    <t xml:space="preserve">PARLANTE IP DE TECHO</t>
  </si>
  <si>
    <t xml:space="preserve">SISTEMA DACI (DETECCIÓN Y ALARMA CONTRA INCENDIO)</t>
  </si>
  <si>
    <t xml:space="preserve">06.05.01</t>
  </si>
  <si>
    <t xml:space="preserve">EQUIPAMIENTO DE UNIDAD CENTRAL DEL SISTEMA DE ALARMA CONTRA INCENDIO</t>
  </si>
  <si>
    <t xml:space="preserve">06.05.02</t>
  </si>
  <si>
    <t xml:space="preserve">SUMINISTRO E INSTALACION DE DETECTOR DE HUMO</t>
  </si>
  <si>
    <t xml:space="preserve">06.05.03</t>
  </si>
  <si>
    <t xml:space="preserve">SALIDA PARA ALARMA CONTRA INCENDIO</t>
  </si>
  <si>
    <t xml:space="preserve">TECNICO ESPECIALISTA EN TELECOMUNICACIONES</t>
  </si>
  <si>
    <t xml:space="preserve">JACK DE DATOS CAT CAT6A (BLANCO) P/CAJA POP UP</t>
  </si>
  <si>
    <t xml:space="preserve">CAJA GALV. TIPO GANG INC. TAPA GANG</t>
  </si>
  <si>
    <t xml:space="preserve">CAJA POP-UP PARA 4 MOD.MOSAIC.ALUMINIO MATE</t>
  </si>
  <si>
    <t xml:space="preserve">CONECTOR PVC-P (ELEC.) 25mm</t>
  </si>
  <si>
    <t xml:space="preserve">ETIQUETA PARA JACK DE DATOS</t>
  </si>
  <si>
    <t xml:space="preserve">JACK DE DATOS CAT CAT6A (BLANCO)</t>
  </si>
  <si>
    <t xml:space="preserve">CAJA GALV. RECTANGULAR PESADA DE 4"x2"x21/4"</t>
  </si>
  <si>
    <t xml:space="preserve">FACE PLATE DOBLE PARA DATOS RJ45 BLANCO</t>
  </si>
  <si>
    <t xml:space="preserve">TUBERÍA PVC-P ELECTRICO Ø50mm 3.0m</t>
  </si>
  <si>
    <t xml:space="preserve">CURVA PVC-P ELECTRICO Ø50mm</t>
  </si>
  <si>
    <t xml:space="preserve">PEGAMENTO PARA TUBERÍA PVC</t>
  </si>
  <si>
    <t xml:space="preserve">CONECTOR PVC-P (ELEC.) 50mm</t>
  </si>
  <si>
    <t xml:space="preserve">CURVA PVC-P ELECTRICO Ø40mm</t>
  </si>
  <si>
    <t xml:space="preserve">TUBERÍA PVC-P ELECTRICO Ø40mm 3.0m</t>
  </si>
  <si>
    <t xml:space="preserve">CONECTOR PVC Ø 40mm</t>
  </si>
  <si>
    <t xml:space="preserve">TUBERÍA PVC-P ELECTRICO Ø25mm 3.0m</t>
  </si>
  <si>
    <t xml:space="preserve">CURVA PVC-P ELECTRICO Ø25mm</t>
  </si>
  <si>
    <t xml:space="preserve">TUBERÍA PVC-P ELECTRICO Ø15mm 3.0m</t>
  </si>
  <si>
    <t xml:space="preserve">CURVA PVC-P ELECTRICO Ø15mm</t>
  </si>
  <si>
    <t xml:space="preserve">CONECTOR PVC-P (ELEC.) 15mm</t>
  </si>
  <si>
    <t xml:space="preserve">BANDEJA PORTACABLES 200x54</t>
  </si>
  <si>
    <t xml:space="preserve">RECEPTOR MO ISP</t>
  </si>
  <si>
    <t xml:space="preserve">ROUTER 1RU</t>
  </si>
  <si>
    <t xml:space="preserve">SWITCH GIGA BIT 48 PUERTOS 1 RU</t>
  </si>
  <si>
    <t xml:space="preserve">PACH PANEL 48 PUERTOS CAT 6.2 RU</t>
  </si>
  <si>
    <t xml:space="preserve">SERVIDOR ETHERNET DE 1GB - 4 PUERTOS 366FLR</t>
  </si>
  <si>
    <t xml:space="preserve">SERVIDOR NVR 1 RU</t>
  </si>
  <si>
    <t xml:space="preserve">SWITCH POE 16 PUERTOS 1 RU</t>
  </si>
  <si>
    <t xml:space="preserve">PATCH PANEL CAT 6A DE 24 PUERTOS RJ45 A 568 A/B</t>
  </si>
  <si>
    <t xml:space="preserve">BANDEJA 19" 1 RU</t>
  </si>
  <si>
    <t xml:space="preserve">UPS 3000 VA / 2700 W, TIPO RACK 2U</t>
  </si>
  <si>
    <t xml:space="preserve">GABINETE DE PISO 42 RU</t>
  </si>
  <si>
    <t xml:space="preserve">BLOCK CONECTOR DOBLE RJ-45 / FEMALE</t>
  </si>
  <si>
    <t xml:space="preserve">CONECTOR RJ-45 / FEMALE</t>
  </si>
  <si>
    <t xml:space="preserve">ACCESS POINT PARA EXTERIORES 300 Mbps</t>
  </si>
  <si>
    <t xml:space="preserve">CABLE UTP CAT 6A (CAJA 305m)</t>
  </si>
  <si>
    <t xml:space="preserve">MASTIL DE FºGº Ø2"x3.00mm H=3.00m</t>
  </si>
  <si>
    <t xml:space="preserve">VIDEO CAMARA TUBULAR IP</t>
  </si>
  <si>
    <t xml:space="preserve">PLATINA EMPERNADA PARA SOPORTE DE MÁSTIL</t>
  </si>
  <si>
    <t xml:space="preserve">SOPORTE - ABRAZADERA PARA CAMARA</t>
  </si>
  <si>
    <t xml:space="preserve">VIDEO CAMARA DOMO IP</t>
  </si>
  <si>
    <t xml:space="preserve">AMPLIFICADOR DE AUDIO 100W</t>
  </si>
  <si>
    <t xml:space="preserve">UNIDAD CENTRAL DE ALARMA CONTRA INCENDIO</t>
  </si>
  <si>
    <t xml:space="preserve">DETECTOR DE HUMOS</t>
  </si>
  <si>
    <t xml:space="preserve">CAJA GALV. OCTOGONAL PESADA 4"x2"</t>
  </si>
  <si>
    <t xml:space="preserve">Area de terreno</t>
  </si>
  <si>
    <t xml:space="preserve">Factor </t>
  </si>
  <si>
    <t xml:space="preserve">Ratio</t>
  </si>
  <si>
    <t xml:space="preserve">Area techada</t>
  </si>
  <si>
    <t xml:space="preserve">Plazo </t>
  </si>
  <si>
    <t xml:space="preserve">meses </t>
  </si>
  <si>
    <t xml:space="preserve">m²</t>
  </si>
  <si>
    <t xml:space="preserve">LIMPIEZA DEL TERRENO (MANUAL)</t>
  </si>
  <si>
    <t xml:space="preserve">TRAZO NIVELACIÓN Y REPLANTEO</t>
  </si>
  <si>
    <t xml:space="preserve">Equipos de protección individual</t>
  </si>
  <si>
    <t xml:space="preserve">Equipos de protección colectiva</t>
  </si>
  <si>
    <t xml:space="preserve">Señalización temporal de seguridad</t>
  </si>
  <si>
    <t xml:space="preserve">Programa de capacitaciones</t>
  </si>
  <si>
    <t xml:space="preserve">Recursos para respuesta ante emergencias</t>
  </si>
  <si>
    <t xml:space="preserve">Programa de prevención y control</t>
  </si>
  <si>
    <t xml:space="preserve">Examen médico general</t>
  </si>
  <si>
    <t xml:space="preserve">Prevención y mitigación de impactos</t>
  </si>
  <si>
    <t xml:space="preserve">Implementación de área de señalización</t>
  </si>
  <si>
    <t xml:space="preserve">Charlas de sensibilización ambiental</t>
  </si>
  <si>
    <t xml:space="preserve">Monitoreo de calidad ambiental</t>
  </si>
  <si>
    <t xml:space="preserve">Adquisición de contenedores</t>
  </si>
  <si>
    <t xml:space="preserve">Recolección de residuos peligrosos</t>
  </si>
  <si>
    <t xml:space="preserve">Eliminación y transporte</t>
  </si>
  <si>
    <t xml:space="preserve">Acondicionamiento</t>
  </si>
  <si>
    <t xml:space="preserve">Recolección de residuos</t>
  </si>
  <si>
    <t xml:space="preserve">Disposición final</t>
  </si>
  <si>
    <t xml:space="preserve">Clasificación de residuos</t>
  </si>
  <si>
    <t xml:space="preserve">Contingencia ante derrames</t>
  </si>
  <si>
    <t xml:space="preserve">Manejo de residuos de desinstalación</t>
  </si>
  <si>
    <t xml:space="preserve">Traslado y disposición final</t>
  </si>
  <si>
    <t xml:space="preserve">Rehabilitación de suelos afectados</t>
  </si>
  <si>
    <t xml:space="preserve">Nivelación y compactación</t>
  </si>
  <si>
    <t xml:space="preserve">OBTENCIÓN DEL SERVICIO</t>
  </si>
  <si>
    <t xml:space="preserve">CABLE TW 35 mm²</t>
  </si>
  <si>
    <t xml:space="preserve">CONEXIÓN DE ACOMETIDA</t>
  </si>
  <si>
    <t xml:space="preserve">POSTE DE ROLLIZO DE EUCALIPTO 8" x 6.00 m</t>
  </si>
  <si>
    <t xml:space="preserve">ALMACENAMIENTO Y DISTRIBUCION DE AGUA </t>
  </si>
  <si>
    <t xml:space="preserve">CONEXION E INSTALACION </t>
  </si>
  <si>
    <t xml:space="preserve">CONSUMO Y MANTENIMIENTO   </t>
  </si>
  <si>
    <t xml:space="preserve">CONEXION INSTALACION TEL COM</t>
  </si>
  <si>
    <t xml:space="preserve">CONSUMO Y MANTENIMIENTO INS TEL Y COM</t>
  </si>
  <si>
    <t xml:space="preserve">ENERGIA ELECTRICA PARA LA CONSTRUCCION </t>
  </si>
  <si>
    <t xml:space="preserve">ENERGIA ELECTRICA ESTIMADO </t>
  </si>
  <si>
    <t xml:space="preserve">LIMPIEZA DE TERRENO (MANUAL) </t>
  </si>
  <si>
    <t xml:space="preserve">MOVILIZACION DE EQUIPOS Y HERRAMIENTAS</t>
  </si>
  <si>
    <t xml:space="preserve">EQUIPO DE PROTECCION INDIVIDUAL</t>
  </si>
  <si>
    <t xml:space="preserve">EQUIPO DE PROTECCION COLECTIVA</t>
  </si>
  <si>
    <t xml:space="preserve">MANEJO DE RESIDUOS DE LA DESINSTALACIÓN</t>
  </si>
  <si>
    <t xml:space="preserve">DESMONTAJE DE PUERTAS DE MADERA</t>
  </si>
  <si>
    <t xml:space="preserve">DESMONTAJE DE PUERTAS METALICAS </t>
  </si>
  <si>
    <t xml:space="preserve">DESMONTAJE DE PORTON METALICO </t>
  </si>
  <si>
    <t xml:space="preserve">DESMONTAJE DE COBERTURAS DE CALAMINA </t>
  </si>
  <si>
    <t xml:space="preserve">ANDAMIO METALICO (TORRE MOVIL H=8.00 M)</t>
  </si>
  <si>
    <t xml:space="preserve">DESMONTAJE DE INODORO </t>
  </si>
  <si>
    <t xml:space="preserve">DESMONTAJE DE LAVAMANO </t>
  </si>
  <si>
    <t xml:space="preserve">DESMONTAJE DE FALSO CIELO RASO  </t>
  </si>
  <si>
    <t xml:space="preserve">DESMONTAJE DE VENTANAS DE MADERA </t>
  </si>
  <si>
    <t xml:space="preserve">DESMONTAJE DE VENTANAS METALICAS </t>
  </si>
  <si>
    <t xml:space="preserve">DESMONTAJE DE REJAS DE VENTANAS</t>
  </si>
  <si>
    <t xml:space="preserve">DESMONTAJE DE REJAS DE PUERTAS </t>
  </si>
  <si>
    <t xml:space="preserve">DESMONTAJE DE TIJERALES DE MADERA</t>
  </si>
  <si>
    <t xml:space="preserve">DESMONTAJE DE TIJERALES DE METAL </t>
  </si>
  <si>
    <t xml:space="preserve">ANDAMIO METALICO (TORRE MOVIL H=8.00 M) </t>
  </si>
  <si>
    <t xml:space="preserve">EQUIPO DE CORTE Y SOLDADURA </t>
  </si>
  <si>
    <t xml:space="preserve">DESMONTAJE DE PISO MACHIEMBRADO </t>
  </si>
  <si>
    <t xml:space="preserve">DESMONTAJE DE ARCOS METALICOS DE FUTBOL</t>
  </si>
  <si>
    <t xml:space="preserve">DESMONTAJE DE ESTRUCTURA METALICA </t>
  </si>
  <si>
    <t xml:space="preserve">GRUA SOBRE CAMION CA 225 HP 50 TON CORTA </t>
  </si>
  <si>
    <t xml:space="preserve">AMOLADORA </t>
  </si>
  <si>
    <t xml:space="preserve">DESMONTAJE DE TAPA METALICA DE TANQUE CISTERNA </t>
  </si>
  <si>
    <t xml:space="preserve">DESMONTAJE DE BOMBA DE AGUA </t>
  </si>
  <si>
    <t xml:space="preserve">DESMONTAJE DE CORREAS DE MADERA</t>
  </si>
  <si>
    <t xml:space="preserve">DESMONTAJE DE LUMINARIAS </t>
  </si>
  <si>
    <t xml:space="preserve">DESMONTAJES DE PIZARRAS </t>
  </si>
  <si>
    <t xml:space="preserve">DEMOLICION DE CIMIENTOS CORRIDOS </t>
  </si>
  <si>
    <t xml:space="preserve">OPERADOR DE EQUIPO PESADO </t>
  </si>
  <si>
    <t xml:space="preserve">PETROLEO D-2</t>
  </si>
  <si>
    <t xml:space="preserve">CARGADOR FRONTAL S/LLANTAS DE 125-155 HP 3 yd3</t>
  </si>
  <si>
    <t xml:space="preserve">DEMOLICION DE PISOS DE SOBRECIMIENTOS </t>
  </si>
  <si>
    <t xml:space="preserve">RETROEXCAVADORA SOBRE LLANTAS 80-110 HP 0.5-1.3 yd3</t>
  </si>
  <si>
    <t xml:space="preserve">DEMOLICION DE PISOS DE CONCRETO INTERIORES</t>
  </si>
  <si>
    <t xml:space="preserve">DEMOLICION DE ZAPATAS </t>
  </si>
  <si>
    <t xml:space="preserve">EXCAVADORA SOBRE ORUGAS 150-220 HP CON MARTILLO </t>
  </si>
  <si>
    <t xml:space="preserve">DEMOLICION DE COLUMNAS </t>
  </si>
  <si>
    <t xml:space="preserve">DEMOLICION DE VIGAS  </t>
  </si>
  <si>
    <t xml:space="preserve">DEMOLICION DE LOSAS </t>
  </si>
  <si>
    <t xml:space="preserve">COMPRESORA NEUMATICA 93 HP 335-375 PCM </t>
  </si>
  <si>
    <t xml:space="preserve">MARTILLLO NEUMATICO - 25/29 KG</t>
  </si>
  <si>
    <t xml:space="preserve">DEMOLICION DE CAJA DE ESCALERA DE CONCRETO </t>
  </si>
  <si>
    <t xml:space="preserve">DEMOLICION DE MURO DE BLOQUETA</t>
  </si>
  <si>
    <t xml:space="preserve">DEMOLICION DE PLACAS</t>
  </si>
  <si>
    <t xml:space="preserve">DEMOLICION DE LOSA DEPORTIVA </t>
  </si>
  <si>
    <t xml:space="preserve">DEMOLICION DE GRADERIOS </t>
  </si>
  <si>
    <t xml:space="preserve">DEMOLICION DE VEREDAS Y ACCESOS INTERIORES</t>
  </si>
  <si>
    <t xml:space="preserve">DEMOLICION DE CANAL </t>
  </si>
  <si>
    <t xml:space="preserve">DEMOLICION DE CERCO PERIMETRICO </t>
  </si>
  <si>
    <t xml:space="preserve">PUNTALES METALICOS </t>
  </si>
  <si>
    <t xml:space="preserve">COMPRESORA NEUMATICA 125-175 PCM 76 HP </t>
  </si>
  <si>
    <t xml:space="preserve">CARGUIO Y ELIMINACION DE MATERIAL PROCEDENTE DE DEMOLICIONES DISTACIA PROMEDIO </t>
  </si>
  <si>
    <t xml:space="preserve">Areas verdes</t>
  </si>
  <si>
    <t xml:space="preserve">Losa DEPORTIVA</t>
  </si>
  <si>
    <t xml:space="preserve">Áreas Verdes</t>
  </si>
  <si>
    <t xml:space="preserve">cobertura</t>
  </si>
  <si>
    <t xml:space="preserve">AREA VERDES</t>
  </si>
  <si>
    <t xml:space="preserve">Patio de INICIAL</t>
  </si>
  <si>
    <t xml:space="preserve">SubPartida </t>
  </si>
  <si>
    <t xml:space="preserve">asta de bandera</t>
  </si>
  <si>
    <t xml:space="preserve">veredas y rampas </t>
  </si>
  <si>
    <t xml:space="preserve">pavimento</t>
  </si>
  <si>
    <t xml:space="preserve">LAMAS</t>
  </si>
  <si>
    <t xml:space="preserve">COMPACTACION DE SUBRASANTE</t>
  </si>
  <si>
    <t xml:space="preserve">bicicletas</t>
  </si>
  <si>
    <t xml:space="preserve">AFIRMADO DE e=0.30m PARA LOSA</t>
  </si>
  <si>
    <t xml:space="preserve">Cerco perimetrico </t>
  </si>
  <si>
    <t xml:space="preserve">Area construida</t>
  </si>
  <si>
    <t xml:space="preserve">Area terreno</t>
  </si>
  <si>
    <t xml:space="preserve">Altura</t>
  </si>
  <si>
    <t xml:space="preserve">PINTURA DE LINEASEN LOSA DEPORTIVA</t>
  </si>
  <si>
    <t xml:space="preserve">Cobertura Liviana de Losa DEPORTIVA</t>
  </si>
  <si>
    <t xml:space="preserve">Cobertura Liviana de PATIO DE INICIAL</t>
  </si>
  <si>
    <t xml:space="preserve">LOSA DEPORTIVA (44 x 22: 968) F'C=210 kg/cm² DE 20 CM DE ESPESOR</t>
  </si>
  <si>
    <t xml:space="preserve">COMPACTACION DE SUBRASANTE DE LOSA </t>
  </si>
  <si>
    <t xml:space="preserve">CURADO DE CONCRETO </t>
  </si>
  <si>
    <t xml:space="preserve">TRAZO, NIVELES Y REPLANTEO PRELIMINAR</t>
  </si>
  <si>
    <t xml:space="preserve">Sistema de Bombeo de Presión Constante</t>
  </si>
  <si>
    <t xml:space="preserve">Instalaciones sanitarias exteriores inc. Canaletas de evacuación pluvial</t>
  </si>
  <si>
    <t xml:space="preserve">CONINICIAL Y COMPACTACION DE SUBRASANTE</t>
  </si>
  <si>
    <t xml:space="preserve">Sistema de agua contra incendios (RED CONTRA INCENDIOS, GABINETES)</t>
  </si>
  <si>
    <t xml:space="preserve">Suministro y Montaje de Montacarga</t>
  </si>
  <si>
    <t xml:space="preserve">CERCO PERIMETRICO E INGRESOS</t>
  </si>
  <si>
    <t xml:space="preserve">Cerco Perimetrico H=3.00m</t>
  </si>
  <si>
    <t xml:space="preserve">ml</t>
  </si>
  <si>
    <t xml:space="preserve">EXCAVACION MANUAL PARA CIMENTACIONES</t>
  </si>
  <si>
    <t xml:space="preserve">COLUMNAS PARA CERCO PERIMETRICO - CONCRETO F'C=210 KG/CM2</t>
  </si>
  <si>
    <t xml:space="preserve">PORTON</t>
  </si>
  <si>
    <t xml:space="preserve">Portada de Ingreso (Porton metalico)</t>
  </si>
  <si>
    <t xml:space="preserve">COBERTURA LIVIANA DE LOSA DEPORTIVA </t>
  </si>
  <si>
    <t xml:space="preserve">VEREDAS Y RAMPAS</t>
  </si>
  <si>
    <t xml:space="preserve">PAVIMENTO RIGIDO VEHICULAR </t>
  </si>
  <si>
    <t xml:space="preserve">Subpartida </t>
  </si>
  <si>
    <t xml:space="preserve">SUMINISTRO Y MONTAJE DE MONTACARGA</t>
  </si>
  <si>
    <t xml:space="preserve">ml/dia</t>
  </si>
  <si>
    <t xml:space="preserve">COMPACTADORA VIBRATORIA TIPO PLANCHA 7 HP</t>
  </si>
  <si>
    <t xml:space="preserve">AS</t>
  </si>
  <si>
    <t xml:space="preserve">COLUMNAS - ENCOFRADO Y DESENCOFRADO</t>
  </si>
  <si>
    <t xml:space="preserve">COLUMNAS - CONCRETO F'C=210 KG/CM2</t>
  </si>
  <si>
    <t xml:space="preserve">COLUMNAS - ACERO FY=4,200 KG/CM2</t>
  </si>
  <si>
    <t xml:space="preserve">VIGAS - ENCOFRADO Y DESENCOFRADO</t>
  </si>
  <si>
    <t xml:space="preserve">VIGAS - CONCRETO F'C=210 KG/CM2</t>
  </si>
  <si>
    <t xml:space="preserve">VIGAS - ACERO FY=4,200 KG/CM2</t>
  </si>
  <si>
    <t xml:space="preserve">Total x m/2</t>
  </si>
  <si>
    <t xml:space="preserve">Area tecada de escalera</t>
  </si>
  <si>
    <t xml:space="preserve">CIMENTACION </t>
  </si>
  <si>
    <t xml:space="preserve">TRAZO Y REPLANTEO DURANTE LA EJECUCION DE OBRA</t>
  </si>
  <si>
    <t xml:space="preserve">OBRAS DE CONCRETO ARMADO</t>
  </si>
  <si>
    <t xml:space="preserve">TOPOGRAFO </t>
  </si>
  <si>
    <t xml:space="preserve">CAL HIDRATADA BOLSA 30 kg</t>
  </si>
  <si>
    <t xml:space="preserve">TEODOLITO Y MIRA</t>
  </si>
  <si>
    <t xml:space="preserve">CORDEL</t>
  </si>
  <si>
    <t xml:space="preserve">Area de cimentación </t>
  </si>
  <si>
    <t xml:space="preserve">CONFORMACION Y COMPACTACION DE SUBRASANTE</t>
  </si>
  <si>
    <t xml:space="preserve">FALSA ZAPATA F’C=100 KG/CM² + PIEDRA GRANDE DE 8" </t>
  </si>
  <si>
    <t xml:space="preserve">CONCRETO CICLOPEO F’C=100 KG/CM² + PIEDRA GRANDE DE 8" </t>
  </si>
  <si>
    <t xml:space="preserve">SOLADO PARA  CIMENTACIÓN FC=100 KG/CM2 E=4"</t>
  </si>
  <si>
    <t xml:space="preserve">PLATEA DE CIMENTACIÓN</t>
  </si>
  <si>
    <t xml:space="preserve">Platea de cimentación – Concreto f'c=210</t>
  </si>
  <si>
    <t xml:space="preserve">Platea de cimentación – Encofrado y desencofrado</t>
  </si>
  <si>
    <t xml:space="preserve">Platea de cimentación – Acero fy=4200</t>
  </si>
  <si>
    <t xml:space="preserve">MELAMINA</t>
  </si>
  <si>
    <t xml:space="preserve">Piso Laminado de alto transito en aulas</t>
  </si>
  <si>
    <t xml:space="preserve">u</t>
  </si>
  <si>
    <t xml:space="preserve">SALIDA DE AGUA FRIA </t>
  </si>
  <si>
    <t xml:space="preserve">SALIDA DE AGUA CALIENTE</t>
  </si>
  <si>
    <t xml:space="preserve">SISTEMA MAGAFONÍA (PERIFONEO)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</si>
</sst>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#,##0.00"/>
    <numFmt numFmtId="166" formatCode="0.00\ %"/>
    <numFmt numFmtId="167" formatCode="General"/>
    <numFmt numFmtId="168" formatCode="0.00"/>
    <numFmt numFmtId="169" formatCode="0.0000"/>
    <numFmt numFmtId="170" formatCode="0.000"/>
    <numFmt numFmtId="171" formatCode="_(* #,##0.00_);_(* \(#,##0.00\);_(* \-??_);_(@_)"/>
    <numFmt numFmtId="172" formatCode="_ * #,##0.000_ ;_ * \-#,##0.000_ ;_ * \-??_ ;_ @_ "/>
    <numFmt numFmtId="173" formatCode="0"/>
    <numFmt numFmtId="174" formatCode="#,##0.0000"/>
    <numFmt numFmtId="175" formatCode="0\ %"/>
    <numFmt numFmtId="176" formatCode="0.0"/>
    <numFmt numFmtId="177" formatCode="#,##0.00_);\-#,##0.00"/>
    <numFmt numFmtId="178" formatCode="#,##0.0000_);\-#,##0.0000"/>
    <numFmt numFmtId="179" formatCode="_ * #,##0.00_ ;_ * \-#,##0.00_ ;_ * \-??_ ;_ @_ "/>
    <numFmt numFmtId="180" formatCode="#,##0.0000000"/>
  </numFmts>
  <fonts count="6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sz val="10"/>
      <color rgb="FF000000"/>
      <name val="MS Sans Serif"/>
      <family val="2"/>
      <charset val="1"/>
    </font>
    <font>
      <sz val="8"/>
      <name val="Arial"/>
      <family val="2"/>
      <charset val="1"/>
    </font>
    <font>
      <sz val="10"/>
      <color rgb="FF000000"/>
      <name val="MS Sans Serif"/>
      <family val="0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FF0000"/>
      <name val="Calibri"/>
      <family val="0"/>
      <charset val="1"/>
    </font>
    <font>
      <b val="true"/>
      <sz val="11"/>
      <color rgb="FF0070C0"/>
      <name val="Calibri"/>
      <family val="2"/>
      <charset val="1"/>
    </font>
    <font>
      <sz val="11"/>
      <color rgb="FF0070C0"/>
      <name val="Calibri"/>
      <family val="2"/>
      <charset val="1"/>
    </font>
    <font>
      <b val="true"/>
      <sz val="11"/>
      <color theme="9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242424"/>
      <name val="Aptos Narrow"/>
      <family val="0"/>
      <charset val="1"/>
    </font>
    <font>
      <b val="true"/>
      <sz val="11"/>
      <color rgb="FF7030A0"/>
      <name val="Calibri"/>
      <family val="2"/>
      <charset val="1"/>
    </font>
    <font>
      <sz val="11"/>
      <color rgb="FF7030A0"/>
      <name val="Calibri"/>
      <family val="2"/>
      <charset val="1"/>
    </font>
    <font>
      <b val="true"/>
      <sz val="11"/>
      <color rgb="FF00B050"/>
      <name val="Calibri"/>
      <family val="2"/>
      <charset val="1"/>
    </font>
    <font>
      <b val="true"/>
      <sz val="9"/>
      <color rgb="FF000000"/>
      <name val="Calibri"/>
      <family val="2"/>
      <charset val="1"/>
    </font>
    <font>
      <b val="true"/>
      <sz val="11"/>
      <color theme="4"/>
      <name val="Calibri"/>
      <family val="2"/>
      <charset val="1"/>
    </font>
    <font>
      <b val="true"/>
      <sz val="11"/>
      <color rgb="FFFF0000"/>
      <name val="Calibri"/>
      <family val="0"/>
      <charset val="1"/>
    </font>
    <font>
      <sz val="11"/>
      <color rgb="FF000000"/>
      <name val="Aptos Narrow"/>
      <family val="2"/>
      <charset val="1"/>
    </font>
    <font>
      <sz val="11"/>
      <color rgb="FF000000"/>
      <name val="Calibri"/>
      <family val="0"/>
      <charset val="1"/>
    </font>
    <font>
      <sz val="11"/>
      <color rgb="FFFF0000"/>
      <name val="Aptos Narrow"/>
      <family val="2"/>
      <charset val="1"/>
    </font>
    <font>
      <sz val="11"/>
      <color rgb="FF000000"/>
      <name val="Aptos Narrow"/>
      <family val="0"/>
      <charset val="1"/>
    </font>
    <font>
      <sz val="11"/>
      <color rgb="FF000000"/>
      <name val="Calibri"/>
      <family val="2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0"/>
      <charset val="1"/>
    </font>
    <font>
      <b val="true"/>
      <sz val="11"/>
      <color theme="1"/>
      <name val="Aptos Narrow"/>
      <family val="0"/>
      <charset val="1"/>
    </font>
    <font>
      <b val="true"/>
      <sz val="11"/>
      <color rgb="FF000000"/>
      <name val="Aptos Narrow"/>
      <family val="0"/>
      <charset val="1"/>
    </font>
    <font>
      <b val="true"/>
      <sz val="9"/>
      <color rgb="FF000000"/>
      <name val="Aptos Narrow"/>
      <family val="0"/>
      <charset val="1"/>
    </font>
    <font>
      <sz val="10"/>
      <color rgb="FF000000"/>
      <name val="ARIAL"/>
      <family val="0"/>
      <charset val="1"/>
    </font>
    <font>
      <sz val="11"/>
      <color rgb="FF002060"/>
      <name val="Calibri"/>
      <family val="2"/>
      <charset val="1"/>
    </font>
    <font>
      <sz val="11"/>
      <color rgb="FF000000"/>
      <name val="Arial"/>
      <family val="0"/>
      <charset val="1"/>
    </font>
    <font>
      <sz val="11"/>
      <color theme="9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sz val="10"/>
      <color theme="1"/>
      <name val="Arial"/>
      <family val="0"/>
      <charset val="1"/>
    </font>
    <font>
      <sz val="11"/>
      <color rgb="FF000000"/>
      <name val="Arial"/>
      <family val="2"/>
      <charset val="1"/>
    </font>
    <font>
      <b val="true"/>
      <sz val="11"/>
      <color theme="1"/>
      <name val="Aptos Narrow"/>
      <family val="2"/>
      <charset val="1"/>
    </font>
    <font>
      <b val="true"/>
      <sz val="9"/>
      <color rgb="FF000000"/>
      <name val="Aptos Narrow"/>
      <family val="2"/>
      <charset val="1"/>
    </font>
    <font>
      <sz val="11"/>
      <color theme="1"/>
      <name val="ARIAL"/>
      <family val="2"/>
      <charset val="1"/>
    </font>
    <font>
      <sz val="8.05"/>
      <color rgb="FF000000"/>
      <name val="Arial Narrow"/>
      <family val="0"/>
      <charset val="1"/>
    </font>
    <font>
      <b val="true"/>
      <sz val="8.05"/>
      <color rgb="FF000000"/>
      <name val="Arial Narrow"/>
      <family val="0"/>
      <charset val="1"/>
    </font>
    <font>
      <b val="true"/>
      <sz val="7.9"/>
      <color rgb="FF000000"/>
      <name val="Arial"/>
      <family val="0"/>
      <charset val="1"/>
    </font>
    <font>
      <sz val="10"/>
      <color rgb="FFFF0000"/>
      <name val="MS Sans Serif"/>
      <family val="0"/>
      <charset val="1"/>
    </font>
    <font>
      <sz val="11"/>
      <color rgb="FF242424"/>
      <name val="Consolas"/>
      <family val="0"/>
      <charset val="1"/>
    </font>
    <font>
      <b val="true"/>
      <sz val="10"/>
      <color rgb="FF000000"/>
      <name val="Arial"/>
      <family val="2"/>
      <charset val="1"/>
    </font>
    <font>
      <sz val="10"/>
      <name val="Arial"/>
      <family val="0"/>
      <charset val="1"/>
    </font>
    <font>
      <b val="true"/>
      <sz val="11"/>
      <color rgb="FF242424"/>
      <name val="Aptos Narrow"/>
      <family val="2"/>
      <charset val="1"/>
    </font>
    <font>
      <sz val="11"/>
      <color rgb="FF242424"/>
      <name val="Aptos Narrow"/>
      <family val="2"/>
      <charset val="1"/>
    </font>
    <font>
      <sz val="11"/>
      <color theme="4" tint="-0.25"/>
      <name val="Calibri"/>
      <family val="2"/>
      <charset val="1"/>
    </font>
    <font>
      <b val="true"/>
      <sz val="11"/>
      <color rgb="FF000000"/>
      <name val="Aptos Narrow"/>
      <family val="2"/>
      <charset val="1"/>
    </font>
    <font>
      <sz val="10"/>
      <color rgb="FF7030A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rgb="FF7030A0"/>
      <name val="Arial"/>
      <family val="0"/>
      <charset val="1"/>
    </font>
    <font>
      <b val="true"/>
      <sz val="10"/>
      <color rgb="FFFF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theme="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theme="2" tint="-0.1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rgb="FF92D050"/>
        <bgColor rgb="FF70AD47"/>
      </patternFill>
    </fill>
    <fill>
      <patternFill patternType="solid">
        <fgColor theme="7" tint="0.3999"/>
        <bgColor rgb="FFFFFF99"/>
      </patternFill>
    </fill>
    <fill>
      <patternFill patternType="solid">
        <fgColor rgb="FFFF0000"/>
        <bgColor rgb="FF993300"/>
      </patternFill>
    </fill>
    <fill>
      <patternFill patternType="solid">
        <fgColor rgb="FFFFC000"/>
        <bgColor rgb="FFFF99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9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9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3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32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7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2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3" fontId="3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36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21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39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29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21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3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41" fillId="0" borderId="7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8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42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center" vertical="top" textRotation="0" wrapText="false" indent="0" shrinkToFit="false" readingOrder="1"/>
      <protection locked="true" hidden="false"/>
    </xf>
    <xf numFmtId="174" fontId="4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74" fontId="41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5" fontId="41" fillId="4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8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6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9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4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0" fillId="0" borderId="0" xfId="21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0" fillId="0" borderId="0" xfId="21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0" fillId="0" borderId="0" xfId="21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1" fontId="50" fillId="0" borderId="0" xfId="1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1" fontId="50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8" fillId="0" borderId="0" xfId="21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1" fontId="38" fillId="0" borderId="0" xfId="1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38" fillId="0" borderId="0" xfId="21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8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38" fillId="0" borderId="0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1" fontId="29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0" fillId="0" borderId="0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51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0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23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38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0" fillId="0" borderId="0" xfId="2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7" fontId="38" fillId="0" borderId="0" xfId="23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38" fillId="0" borderId="0" xfId="2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8" fillId="0" borderId="0" xfId="23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7" fontId="50" fillId="0" borderId="0" xfId="23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0" fillId="0" borderId="0" xfId="23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0" fillId="0" borderId="0" xfId="23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0" fillId="0" borderId="0" xfId="23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8" fontId="38" fillId="0" borderId="0" xfId="23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1" fontId="39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39" fillId="0" borderId="0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9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2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28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2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25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2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4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8" fontId="25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2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38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7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5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8" fontId="2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39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29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39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29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9" fontId="39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56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6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6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7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8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8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0" fontId="29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57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9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80" fontId="2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51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0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51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1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40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9" fontId="51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60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0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0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1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2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1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80" fontId="40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62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3" fillId="4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0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60" fillId="0" borderId="0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9" fontId="3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  <cellStyle name="Normal 2" xfId="21"/>
    <cellStyle name="Normal 3" xfId="22"/>
    <cellStyle name="Normal 4" xfId="23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0C0"/>
      <rgbColor rgb="FFD0CECE"/>
      <rgbColor rgb="FF808080"/>
      <rgbColor rgb="FF9999FF"/>
      <rgbColor rgb="FF7030A0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D966"/>
      <rgbColor rgb="FF4472C4"/>
      <rgbColor rgb="FF33CCCC"/>
      <rgbColor rgb="FF92D050"/>
      <rgbColor rgb="FFFFC000"/>
      <rgbColor rgb="FFFF9900"/>
      <rgbColor rgb="FFFF6600"/>
      <rgbColor rgb="FF666699"/>
      <rgbColor rgb="FF70AD47"/>
      <rgbColor rgb="FF002060"/>
      <rgbColor rgb="FF00B050"/>
      <rgbColor rgb="FF003300"/>
      <rgbColor rgb="FF333300"/>
      <rgbColor rgb="FF993300"/>
      <rgbColor rgb="FF993366"/>
      <rgbColor rgb="FF2F5597"/>
      <rgbColor rgb="FF2424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worksheet" Target="worksheets/sheet76.xml"/><Relationship Id="rId79" Type="http://schemas.openxmlformats.org/officeDocument/2006/relationships/worksheet" Target="worksheets/sheet77.xml"/><Relationship Id="rId8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428760</xdr:colOff>
      <xdr:row>0</xdr:row>
      <xdr:rowOff>0</xdr:rowOff>
    </xdr:from>
    <xdr:to>
      <xdr:col>0</xdr:col>
      <xdr:colOff>428760</xdr:colOff>
      <xdr:row>0</xdr:row>
      <xdr:rowOff>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428760" y="0"/>
          <a:ext cx="0" cy="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428760</xdr:colOff>
      <xdr:row>0</xdr:row>
      <xdr:rowOff>0</xdr:rowOff>
    </xdr:from>
    <xdr:to>
      <xdr:col>0</xdr:col>
      <xdr:colOff>428760</xdr:colOff>
      <xdr:row>0</xdr:row>
      <xdr:rowOff>0</xdr:rowOff>
    </xdr:to>
    <xdr:pic>
      <xdr:nvPicPr>
        <xdr:cNvPr id="1" name="Imagen 1" descr=""/>
        <xdr:cNvPicPr/>
      </xdr:nvPicPr>
      <xdr:blipFill>
        <a:blip r:embed="rId1"/>
        <a:stretch/>
      </xdr:blipFill>
      <xdr:spPr>
        <a:xfrm>
          <a:off x="428760" y="0"/>
          <a:ext cx="0" cy="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6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C17" activeCellId="0" sqref="C1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3.15"/>
    <col collapsed="false" customWidth="true" hidden="false" outlineLevel="0" max="2" min="2" style="1" width="54"/>
    <col collapsed="false" customWidth="true" hidden="false" outlineLevel="0" max="3" min="3" style="1" width="27.86"/>
    <col collapsed="false" customWidth="true" hidden="false" outlineLevel="0" max="4" min="4" style="1" width="30.43"/>
  </cols>
  <sheetData>
    <row r="1" customFormat="false" ht="1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  <c r="B2" s="3" t="s">
        <v>2</v>
      </c>
      <c r="C2" s="3" t="s">
        <v>3</v>
      </c>
      <c r="D2" s="3" t="s">
        <v>4</v>
      </c>
    </row>
    <row r="3" customFormat="false" ht="15" hidden="false" customHeight="false" outlineLevel="0" collapsed="false">
      <c r="A3" s="4"/>
      <c r="B3" s="4"/>
      <c r="C3" s="4"/>
      <c r="D3" s="4"/>
    </row>
    <row r="5" customFormat="false" ht="15" hidden="false" customHeight="false" outlineLevel="0" collapsed="false">
      <c r="A5" s="2" t="s">
        <v>5</v>
      </c>
    </row>
    <row r="6" customFormat="false" ht="15" hidden="false" customHeight="false" outlineLevel="0" collapsed="false">
      <c r="A6" s="3" t="s">
        <v>6</v>
      </c>
      <c r="B6" s="3" t="s">
        <v>7</v>
      </c>
    </row>
    <row r="7" customFormat="false" ht="15" hidden="false" customHeight="false" outlineLevel="0" collapsed="false">
      <c r="A7" s="5" t="s">
        <v>8</v>
      </c>
      <c r="B7" s="5" t="s">
        <v>8</v>
      </c>
    </row>
    <row r="8" customFormat="false" ht="15" hidden="false" customHeight="false" outlineLevel="0" collapsed="false">
      <c r="A8" s="5" t="s">
        <v>9</v>
      </c>
      <c r="B8" s="5" t="s">
        <v>9</v>
      </c>
    </row>
    <row r="9" customFormat="false" ht="15" hidden="false" customHeight="false" outlineLevel="0" collapsed="false">
      <c r="A9" s="5"/>
      <c r="B9" s="5"/>
    </row>
    <row r="11" customFormat="false" ht="15" hidden="false" customHeight="false" outlineLevel="0" collapsed="false">
      <c r="A11" s="6"/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3" t="s">
        <v>11</v>
      </c>
      <c r="B13" s="3" t="s">
        <v>12</v>
      </c>
      <c r="C13" s="3" t="s">
        <v>13</v>
      </c>
    </row>
    <row r="14" customFormat="false" ht="15" hidden="false" customHeight="false" outlineLevel="0" collapsed="false">
      <c r="A14" s="5" t="s">
        <v>14</v>
      </c>
      <c r="B14" s="5" t="n">
        <v>1</v>
      </c>
      <c r="C14" s="4"/>
    </row>
    <row r="15" customFormat="false" ht="15" hidden="false" customHeight="false" outlineLevel="0" collapsed="false">
      <c r="A15" s="5" t="s">
        <v>15</v>
      </c>
      <c r="B15" s="5" t="n">
        <v>2</v>
      </c>
      <c r="C15" s="4"/>
    </row>
    <row r="16" customFormat="false" ht="15" hidden="false" customHeight="false" outlineLevel="0" collapsed="false">
      <c r="B16" s="5" t="n">
        <v>3</v>
      </c>
      <c r="C16" s="4"/>
    </row>
    <row r="17" customFormat="false" ht="15" hidden="false" customHeight="false" outlineLevel="0" collapsed="false">
      <c r="B17" s="5" t="n">
        <v>4</v>
      </c>
      <c r="C17" s="4"/>
    </row>
    <row r="24" customFormat="false" ht="15" hidden="false" customHeight="false" outlineLevel="0" collapsed="false">
      <c r="A24" s="2" t="s">
        <v>16</v>
      </c>
    </row>
    <row r="25" customFormat="false" ht="15" hidden="false" customHeight="false" outlineLevel="0" collapsed="false">
      <c r="A25" s="7"/>
      <c r="B25" s="3" t="s">
        <v>17</v>
      </c>
      <c r="C25" s="3" t="s">
        <v>18</v>
      </c>
      <c r="D25" s="2"/>
    </row>
    <row r="26" customFormat="false" ht="15" hidden="false" customHeight="false" outlineLevel="0" collapsed="false">
      <c r="A26" s="8" t="s">
        <v>19</v>
      </c>
      <c r="B26" s="4"/>
      <c r="C26" s="4"/>
    </row>
    <row r="27" customFormat="false" ht="15" hidden="false" customHeight="false" outlineLevel="0" collapsed="false">
      <c r="A27" s="8" t="s">
        <v>20</v>
      </c>
      <c r="B27" s="4"/>
      <c r="C27" s="4"/>
    </row>
    <row r="28" customFormat="false" ht="15" hidden="false" customHeight="false" outlineLevel="0" collapsed="false">
      <c r="A28" s="8" t="s">
        <v>21</v>
      </c>
      <c r="B28" s="4"/>
      <c r="C28" s="4"/>
    </row>
    <row r="29" customFormat="false" ht="15" hidden="false" customHeight="false" outlineLevel="0" collapsed="false">
      <c r="A29" s="8" t="s">
        <v>22</v>
      </c>
      <c r="B29" s="4"/>
      <c r="C29" s="4"/>
    </row>
    <row r="30" customFormat="false" ht="15" hidden="false" customHeight="false" outlineLevel="0" collapsed="false">
      <c r="A30" s="8" t="s">
        <v>23</v>
      </c>
      <c r="B30" s="4"/>
      <c r="C30" s="4"/>
    </row>
    <row r="31" customFormat="false" ht="15" hidden="false" customHeight="false" outlineLevel="0" collapsed="false">
      <c r="A31" s="8" t="s">
        <v>24</v>
      </c>
      <c r="B31" s="4"/>
      <c r="C31" s="4"/>
    </row>
    <row r="32" customFormat="false" ht="15" hidden="false" customHeight="false" outlineLevel="0" collapsed="false">
      <c r="A32" s="8" t="s">
        <v>25</v>
      </c>
      <c r="B32" s="4"/>
      <c r="C32" s="4"/>
    </row>
    <row r="33" customFormat="false" ht="15" hidden="false" customHeight="false" outlineLevel="0" collapsed="false">
      <c r="A33" s="8" t="s">
        <v>26</v>
      </c>
      <c r="B33" s="4"/>
      <c r="C33" s="4"/>
    </row>
    <row r="34" customFormat="false" ht="15" hidden="false" customHeight="false" outlineLevel="0" collapsed="false">
      <c r="A34" s="8" t="s">
        <v>27</v>
      </c>
      <c r="B34" s="4"/>
      <c r="C34" s="4"/>
    </row>
    <row r="35" customFormat="false" ht="15" hidden="false" customHeight="false" outlineLevel="0" collapsed="false">
      <c r="A35" s="8" t="s">
        <v>28</v>
      </c>
      <c r="B35" s="4"/>
      <c r="C35" s="4"/>
    </row>
    <row r="36" customFormat="false" ht="15" hidden="false" customHeight="false" outlineLevel="0" collapsed="false">
      <c r="A36" s="8" t="s">
        <v>29</v>
      </c>
      <c r="B36" s="4"/>
      <c r="C36" s="4"/>
    </row>
    <row r="37" customFormat="false" ht="15" hidden="false" customHeight="false" outlineLevel="0" collapsed="false">
      <c r="A37" s="8" t="s">
        <v>30</v>
      </c>
      <c r="B37" s="4"/>
      <c r="C37" s="4"/>
    </row>
    <row r="38" customFormat="false" ht="15" hidden="false" customHeight="false" outlineLevel="0" collapsed="false">
      <c r="A38" s="8" t="s">
        <v>31</v>
      </c>
      <c r="B38" s="4"/>
      <c r="C38" s="4"/>
    </row>
    <row r="39" customFormat="false" ht="15" hidden="false" customHeight="false" outlineLevel="0" collapsed="false">
      <c r="A39" s="5" t="s">
        <v>32</v>
      </c>
      <c r="B39" s="4"/>
      <c r="C39" s="4"/>
    </row>
    <row r="40" customFormat="false" ht="15" hidden="false" customHeight="false" outlineLevel="0" collapsed="false">
      <c r="A40" s="5" t="s">
        <v>33</v>
      </c>
      <c r="B40" s="4"/>
      <c r="C40" s="4"/>
    </row>
    <row r="41" customFormat="false" ht="15" hidden="false" customHeight="false" outlineLevel="0" collapsed="false">
      <c r="A41" s="5" t="s">
        <v>34</v>
      </c>
      <c r="B41" s="4"/>
      <c r="C41" s="4"/>
    </row>
    <row r="42" customFormat="false" ht="15" hidden="false" customHeight="false" outlineLevel="0" collapsed="false">
      <c r="A42" s="5" t="s">
        <v>35</v>
      </c>
      <c r="B42" s="4"/>
      <c r="C42" s="4"/>
    </row>
    <row r="43" customFormat="false" ht="15" hidden="false" customHeight="false" outlineLevel="0" collapsed="false">
      <c r="A43" s="5" t="s">
        <v>36</v>
      </c>
      <c r="B43" s="4"/>
      <c r="C43" s="4"/>
    </row>
    <row r="44" customFormat="false" ht="15" hidden="false" customHeight="false" outlineLevel="0" collapsed="false">
      <c r="A44" s="5" t="s">
        <v>37</v>
      </c>
      <c r="B44" s="4"/>
      <c r="C44" s="4"/>
    </row>
    <row r="45" customFormat="false" ht="15" hidden="false" customHeight="false" outlineLevel="0" collapsed="false">
      <c r="A45" s="5" t="s">
        <v>38</v>
      </c>
      <c r="B45" s="4"/>
      <c r="C45" s="4"/>
    </row>
    <row r="46" customFormat="false" ht="15" hidden="false" customHeight="false" outlineLevel="0" collapsed="false">
      <c r="A46" s="5" t="s">
        <v>39</v>
      </c>
      <c r="B46" s="4"/>
      <c r="C46" s="4"/>
    </row>
    <row r="47" customFormat="false" ht="15" hidden="false" customHeight="false" outlineLevel="0" collapsed="false">
      <c r="A47" s="5" t="s">
        <v>40</v>
      </c>
      <c r="B47" s="4"/>
      <c r="C47" s="4"/>
    </row>
    <row r="48" customFormat="false" ht="15" hidden="false" customHeight="false" outlineLevel="0" collapsed="false">
      <c r="A48" s="5" t="s">
        <v>41</v>
      </c>
      <c r="B48" s="4"/>
      <c r="C48" s="4"/>
    </row>
    <row r="49" customFormat="false" ht="15" hidden="false" customHeight="false" outlineLevel="0" collapsed="false">
      <c r="A49" s="5" t="s">
        <v>42</v>
      </c>
      <c r="B49" s="4"/>
      <c r="C49" s="4"/>
    </row>
    <row r="50" customFormat="false" ht="15" hidden="false" customHeight="false" outlineLevel="0" collapsed="false">
      <c r="A50" s="5" t="s">
        <v>43</v>
      </c>
      <c r="B50" s="4"/>
      <c r="C50" s="4"/>
    </row>
    <row r="51" customFormat="false" ht="15" hidden="false" customHeight="false" outlineLevel="0" collapsed="false">
      <c r="A51" s="5" t="s">
        <v>44</v>
      </c>
      <c r="B51" s="4"/>
      <c r="C51" s="4"/>
    </row>
    <row r="52" customFormat="false" ht="15" hidden="false" customHeight="false" outlineLevel="0" collapsed="false">
      <c r="A52" s="5" t="s">
        <v>45</v>
      </c>
      <c r="B52" s="4"/>
      <c r="C52" s="4"/>
    </row>
    <row r="53" customFormat="false" ht="15" hidden="false" customHeight="false" outlineLevel="0" collapsed="false">
      <c r="A53" s="5" t="s">
        <v>46</v>
      </c>
      <c r="B53" s="4"/>
      <c r="C53" s="4"/>
    </row>
    <row r="54" customFormat="false" ht="15" hidden="false" customHeight="false" outlineLevel="0" collapsed="false">
      <c r="A54" s="5" t="s">
        <v>47</v>
      </c>
      <c r="B54" s="4"/>
      <c r="C54" s="4"/>
    </row>
    <row r="55" customFormat="false" ht="15" hidden="false" customHeight="false" outlineLevel="0" collapsed="false">
      <c r="A55" s="5" t="s">
        <v>48</v>
      </c>
      <c r="B55" s="4"/>
      <c r="C55" s="4"/>
    </row>
    <row r="56" customFormat="false" ht="15" hidden="false" customHeight="false" outlineLevel="0" collapsed="false">
      <c r="A56" s="5" t="s">
        <v>49</v>
      </c>
      <c r="B56" s="4"/>
      <c r="C56" s="4"/>
    </row>
    <row r="57" customFormat="false" ht="15" hidden="false" customHeight="false" outlineLevel="0" collapsed="false">
      <c r="A57" s="5" t="s">
        <v>50</v>
      </c>
      <c r="B57" s="4"/>
      <c r="C57" s="4"/>
    </row>
    <row r="58" customFormat="false" ht="15" hidden="false" customHeight="false" outlineLevel="0" collapsed="false">
      <c r="A58" s="5" t="s">
        <v>51</v>
      </c>
      <c r="B58" s="4"/>
      <c r="C58" s="4"/>
    </row>
    <row r="59" customFormat="false" ht="15" hidden="false" customHeight="false" outlineLevel="0" collapsed="false">
      <c r="A59" s="5" t="s">
        <v>52</v>
      </c>
      <c r="B59" s="4"/>
      <c r="C59" s="4"/>
    </row>
    <row r="60" customFormat="false" ht="15" hidden="false" customHeight="false" outlineLevel="0" collapsed="false">
      <c r="A60" s="5" t="s">
        <v>53</v>
      </c>
      <c r="B60" s="4"/>
      <c r="C60" s="4"/>
    </row>
    <row r="61" customFormat="false" ht="15" hidden="false" customHeight="false" outlineLevel="0" collapsed="false">
      <c r="A61" s="5" t="s">
        <v>54</v>
      </c>
      <c r="B61" s="4"/>
      <c r="C61" s="4"/>
    </row>
    <row r="62" customFormat="false" ht="15" hidden="false" customHeight="false" outlineLevel="0" collapsed="false">
      <c r="A62" s="5" t="s">
        <v>55</v>
      </c>
      <c r="B62" s="4"/>
      <c r="C62" s="4"/>
    </row>
    <row r="63" customFormat="false" ht="15" hidden="false" customHeight="false" outlineLevel="0" collapsed="false">
      <c r="A63" s="5" t="s">
        <v>56</v>
      </c>
      <c r="B63" s="4"/>
      <c r="C63" s="4"/>
    </row>
    <row r="64" customFormat="false" ht="15" hidden="false" customHeight="false" outlineLevel="0" collapsed="false">
      <c r="A64" s="5" t="s">
        <v>57</v>
      </c>
      <c r="B64" s="4"/>
      <c r="C64" s="4"/>
    </row>
    <row r="65" customFormat="false" ht="15" hidden="false" customHeight="false" outlineLevel="0" collapsed="false">
      <c r="A65" s="5" t="s">
        <v>58</v>
      </c>
      <c r="B65" s="4"/>
      <c r="C65" s="4"/>
    </row>
    <row r="66" customFormat="false" ht="15" hidden="false" customHeight="false" outlineLevel="0" collapsed="false">
      <c r="A66" s="5" t="s">
        <v>59</v>
      </c>
      <c r="B66" s="4"/>
      <c r="C66" s="4"/>
    </row>
    <row r="67" customFormat="false" ht="15" hidden="false" customHeight="false" outlineLevel="0" collapsed="false">
      <c r="A67" s="5" t="s">
        <v>60</v>
      </c>
      <c r="B67" s="4"/>
      <c r="C67" s="4"/>
    </row>
    <row r="68" customFormat="false" ht="15" hidden="false" customHeight="false" outlineLevel="0" collapsed="false">
      <c r="A68" s="5" t="s">
        <v>61</v>
      </c>
      <c r="B68" s="4"/>
      <c r="C68" s="4"/>
    </row>
    <row r="69" customFormat="false" ht="15" hidden="false" customHeight="false" outlineLevel="0" collapsed="false">
      <c r="A69" s="5" t="s">
        <v>62</v>
      </c>
      <c r="B69" s="4"/>
      <c r="C69" s="4"/>
    </row>
    <row r="70" customFormat="false" ht="15" hidden="false" customHeight="false" outlineLevel="0" collapsed="false">
      <c r="A70" s="5" t="s">
        <v>63</v>
      </c>
      <c r="B70" s="4"/>
      <c r="C70" s="4"/>
    </row>
    <row r="71" customFormat="false" ht="15" hidden="false" customHeight="false" outlineLevel="0" collapsed="false">
      <c r="A71" s="5" t="s">
        <v>64</v>
      </c>
      <c r="B71" s="4"/>
      <c r="C71" s="4"/>
    </row>
    <row r="72" customFormat="false" ht="15" hidden="false" customHeight="false" outlineLevel="0" collapsed="false">
      <c r="A72" s="5" t="s">
        <v>65</v>
      </c>
      <c r="B72" s="4"/>
      <c r="C72" s="4"/>
    </row>
    <row r="73" customFormat="false" ht="15" hidden="false" customHeight="false" outlineLevel="0" collapsed="false">
      <c r="A73" s="5" t="s">
        <v>66</v>
      </c>
      <c r="B73" s="4"/>
      <c r="C73" s="4"/>
    </row>
    <row r="74" customFormat="false" ht="15" hidden="false" customHeight="false" outlineLevel="0" collapsed="false">
      <c r="A74" s="5" t="s">
        <v>67</v>
      </c>
      <c r="B74" s="4"/>
      <c r="C74" s="4"/>
    </row>
    <row r="75" customFormat="false" ht="15" hidden="false" customHeight="false" outlineLevel="0" collapsed="false">
      <c r="A75" s="5" t="s">
        <v>68</v>
      </c>
      <c r="B75" s="4"/>
      <c r="C75" s="4"/>
    </row>
    <row r="76" customFormat="false" ht="15" hidden="false" customHeight="false" outlineLevel="0" collapsed="false">
      <c r="A76" s="5" t="s">
        <v>69</v>
      </c>
      <c r="B76" s="4"/>
      <c r="C76" s="4"/>
    </row>
    <row r="77" customFormat="false" ht="15" hidden="false" customHeight="false" outlineLevel="0" collapsed="false">
      <c r="A77" s="5" t="s">
        <v>70</v>
      </c>
      <c r="B77" s="4"/>
      <c r="C77" s="4"/>
    </row>
    <row r="78" customFormat="false" ht="15" hidden="false" customHeight="false" outlineLevel="0" collapsed="false">
      <c r="A78" s="5" t="s">
        <v>71</v>
      </c>
      <c r="B78" s="4"/>
      <c r="C78" s="4"/>
    </row>
    <row r="79" customFormat="false" ht="15" hidden="false" customHeight="false" outlineLevel="0" collapsed="false">
      <c r="A79" s="6"/>
    </row>
    <row r="80" customFormat="false" ht="15" hidden="false" customHeight="false" outlineLevel="0" collapsed="false">
      <c r="A80" s="6"/>
    </row>
    <row r="81" customFormat="false" ht="15" hidden="false" customHeight="false" outlineLevel="0" collapsed="false">
      <c r="A81" s="6"/>
    </row>
    <row r="82" customFormat="false" ht="15" hidden="false" customHeight="false" outlineLevel="0" collapsed="false">
      <c r="A82" s="6"/>
    </row>
    <row r="83" customFormat="false" ht="15" hidden="false" customHeight="false" outlineLevel="0" collapsed="false">
      <c r="A83" s="2" t="s">
        <v>72</v>
      </c>
      <c r="E83" s="9"/>
      <c r="F83" s="9"/>
    </row>
    <row r="84" customFormat="false" ht="15" hidden="false" customHeight="false" outlineLevel="0" collapsed="false">
      <c r="B84" s="10" t="s">
        <v>17</v>
      </c>
      <c r="C84" s="10" t="s">
        <v>73</v>
      </c>
    </row>
    <row r="85" customFormat="false" ht="15" hidden="false" customHeight="false" outlineLevel="0" collapsed="false">
      <c r="A85" s="1" t="s">
        <v>74</v>
      </c>
      <c r="B85" s="11"/>
      <c r="C85" s="11"/>
    </row>
    <row r="86" customFormat="false" ht="15" hidden="false" customHeight="false" outlineLevel="0" collapsed="false">
      <c r="A86" s="1" t="s">
        <v>75</v>
      </c>
      <c r="B86" s="11"/>
      <c r="C86" s="11"/>
    </row>
    <row r="87" customFormat="false" ht="15" hidden="false" customHeight="false" outlineLevel="0" collapsed="false">
      <c r="A87" s="1" t="s">
        <v>76</v>
      </c>
      <c r="B87" s="11"/>
      <c r="C87" s="11"/>
    </row>
    <row r="88" customFormat="false" ht="15" hidden="false" customHeight="false" outlineLevel="0" collapsed="false">
      <c r="A88" s="1" t="s">
        <v>77</v>
      </c>
      <c r="B88" s="11"/>
      <c r="C88" s="11"/>
    </row>
    <row r="89" customFormat="false" ht="15" hidden="false" customHeight="false" outlineLevel="0" collapsed="false">
      <c r="A89" s="1" t="s">
        <v>78</v>
      </c>
      <c r="B89" s="11"/>
      <c r="C89" s="11"/>
    </row>
    <row r="90" customFormat="false" ht="15" hidden="false" customHeight="false" outlineLevel="0" collapsed="false">
      <c r="A90" s="1" t="s">
        <v>79</v>
      </c>
      <c r="B90" s="11"/>
      <c r="C90" s="12"/>
    </row>
    <row r="91" customFormat="false" ht="15" hidden="false" customHeight="false" outlineLevel="0" collapsed="false">
      <c r="A91" s="1" t="s">
        <v>80</v>
      </c>
      <c r="B91" s="11"/>
      <c r="C91" s="11"/>
    </row>
    <row r="92" customFormat="false" ht="15" hidden="false" customHeight="false" outlineLevel="0" collapsed="false">
      <c r="A92" s="1" t="s">
        <v>81</v>
      </c>
      <c r="B92" s="11"/>
      <c r="C92" s="11"/>
    </row>
    <row r="93" customFormat="false" ht="15" hidden="false" customHeight="false" outlineLevel="0" collapsed="false">
      <c r="A93" s="1" t="s">
        <v>82</v>
      </c>
      <c r="B93" s="11"/>
      <c r="C93" s="11"/>
    </row>
    <row r="94" customFormat="false" ht="15" hidden="false" customHeight="false" outlineLevel="0" collapsed="false">
      <c r="A94" s="1" t="s">
        <v>83</v>
      </c>
      <c r="B94" s="11"/>
      <c r="C94" s="12"/>
    </row>
    <row r="95" customFormat="false" ht="15" hidden="false" customHeight="false" outlineLevel="0" collapsed="false">
      <c r="A95" s="1" t="s">
        <v>84</v>
      </c>
      <c r="B95" s="11"/>
      <c r="C95" s="12"/>
    </row>
    <row r="96" customFormat="false" ht="15" hidden="false" customHeight="false" outlineLevel="0" collapsed="false">
      <c r="A96" s="1" t="s">
        <v>85</v>
      </c>
      <c r="B96" s="11"/>
      <c r="C96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AG1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66"/>
    <col collapsed="false" customWidth="true" hidden="false" outlineLevel="0" max="2" min="2" style="1" width="21.3"/>
    <col collapsed="false" customWidth="true" hidden="false" outlineLevel="0" max="3" min="3" style="1" width="17.3"/>
    <col collapsed="false" customWidth="true" hidden="false" outlineLevel="0" max="4" min="4" style="1" width="27.28"/>
    <col collapsed="false" customWidth="true" hidden="false" outlineLevel="0" max="5" min="5" style="1" width="23"/>
    <col collapsed="false" customWidth="true" hidden="false" outlineLevel="0" max="6" min="6" style="1" width="15.57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5"/>
    <col collapsed="false" customWidth="true" hidden="false" outlineLevel="0" max="10" min="10" style="1" width="13.71"/>
    <col collapsed="false" customWidth="true" hidden="false" outlineLevel="0" max="11" min="11" style="1" width="9.86"/>
    <col collapsed="false" customWidth="true" hidden="false" outlineLevel="0" max="12" min="12" style="1" width="23.57"/>
    <col collapsed="false" customWidth="true" hidden="false" outlineLevel="0" max="13" min="13" style="1" width="19.43"/>
    <col collapsed="false" customWidth="true" hidden="false" outlineLevel="0" max="14" min="14" style="1" width="14.57"/>
    <col collapsed="false" customWidth="true" hidden="false" outlineLevel="0" max="15" min="15" style="1" width="18"/>
    <col collapsed="false" customWidth="true" hidden="false" outlineLevel="0" max="16" min="16" style="1" width="17.14"/>
    <col collapsed="false" customWidth="true" hidden="false" outlineLevel="0" max="17" min="17" style="1" width="19.15"/>
    <col collapsed="false" customWidth="true" hidden="false" outlineLevel="0" max="18" min="18" style="1" width="13.86"/>
    <col collapsed="false" customWidth="true" hidden="false" outlineLevel="0" max="19" min="19" style="1" width="13.71"/>
    <col collapsed="false" customWidth="true" hidden="false" outlineLevel="0" max="20" min="20" style="1" width="14.57"/>
    <col collapsed="false" customWidth="true" hidden="false" outlineLevel="0" max="21" min="21" style="1" width="14"/>
    <col collapsed="false" customWidth="true" hidden="false" outlineLevel="0" max="22" min="22" style="1" width="13.43"/>
    <col collapsed="false" customWidth="true" hidden="false" outlineLevel="0" max="23" min="23" style="1" width="19.43"/>
    <col collapsed="false" customWidth="true" hidden="false" outlineLevel="0" max="24" min="24" style="1" width="13.43"/>
    <col collapsed="false" customWidth="true" hidden="false" outlineLevel="0" max="25" min="25" style="1" width="15.28"/>
    <col collapsed="false" customWidth="true" hidden="false" outlineLevel="0" max="26" min="26" style="1" width="19.57"/>
    <col collapsed="false" customWidth="true" hidden="false" outlineLevel="0" max="27" min="27" style="1" width="16.72"/>
    <col collapsed="false" customWidth="true" hidden="false" outlineLevel="0" max="28" min="28" style="1" width="17.86"/>
    <col collapsed="false" customWidth="true" hidden="false" outlineLevel="0" max="29" min="29" style="1" width="23"/>
    <col collapsed="false" customWidth="true" hidden="false" outlineLevel="0" max="31" min="31" style="1" width="15.86"/>
    <col collapsed="false" customWidth="true" hidden="false" outlineLevel="0" max="33" min="32" style="1" width="16"/>
    <col collapsed="false" customWidth="true" hidden="false" outlineLevel="0" max="34" min="34" style="1" width="9.3"/>
  </cols>
  <sheetData>
    <row r="1" customFormat="false" ht="15" hidden="false" customHeight="false" outlineLevel="0" collapsed="false">
      <c r="A1" s="13" t="s">
        <v>86</v>
      </c>
      <c r="B1" s="14"/>
      <c r="C1" s="14"/>
      <c r="D1" s="14"/>
    </row>
    <row r="2" customFormat="false" ht="15" hidden="false" customHeight="false" outlineLevel="0" collapsed="false">
      <c r="A2" s="15" t="s">
        <v>87</v>
      </c>
      <c r="B2" s="3" t="s">
        <v>88</v>
      </c>
      <c r="C2" s="3" t="s">
        <v>89</v>
      </c>
      <c r="D2" s="3" t="s">
        <v>90</v>
      </c>
      <c r="E2" s="3" t="s">
        <v>91</v>
      </c>
      <c r="F2" s="3" t="s">
        <v>92</v>
      </c>
    </row>
    <row r="3" customFormat="false" ht="15" hidden="false" customHeight="false" outlineLevel="0" collapsed="false">
      <c r="A3" s="13"/>
      <c r="B3" s="4" t="n">
        <v>3459.53</v>
      </c>
      <c r="C3" s="4" t="n">
        <v>2248.76</v>
      </c>
      <c r="D3" s="4" t="n">
        <v>12</v>
      </c>
      <c r="E3" s="16" t="s">
        <v>8</v>
      </c>
      <c r="F3" s="17" t="n">
        <f aca="false" t="array" ref="F3:F3">_xlfn.IFS(E3="SI",'Obras provisionales'!K7,E3="NO",'Obras provisionales'!K7-SUM('Obras provisionales'!J74:J83))</f>
        <v>277324.136259838</v>
      </c>
      <c r="G3" s="9"/>
    </row>
    <row r="4" customFormat="false" ht="15" hidden="false" customHeight="false" outlineLevel="0" collapsed="false">
      <c r="A4" s="15" t="s">
        <v>10</v>
      </c>
      <c r="B4" s="3" t="s">
        <v>93</v>
      </c>
      <c r="C4" s="3" t="s">
        <v>94</v>
      </c>
      <c r="D4" s="3" t="s">
        <v>95</v>
      </c>
      <c r="E4" s="3" t="s">
        <v>96</v>
      </c>
      <c r="F4" s="3" t="s">
        <v>92</v>
      </c>
    </row>
    <row r="5" customFormat="false" ht="15" hidden="false" customHeight="false" outlineLevel="0" collapsed="false">
      <c r="B5" s="4"/>
      <c r="C5" s="5" t="n">
        <v>1</v>
      </c>
      <c r="D5" s="18" t="s">
        <v>97</v>
      </c>
      <c r="E5" s="5" t="n">
        <f aca="false">IF(D5="zapatas y vigas de cimentación",IF(B5&gt;0,'Cimentación 1 piso'!N4,0),'Platea de Cimentacion'!N4)</f>
        <v>0</v>
      </c>
      <c r="F5" s="17" t="n">
        <f aca="false">B5*E5</f>
        <v>0</v>
      </c>
    </row>
    <row r="6" customFormat="false" ht="15" hidden="false" customHeight="false" outlineLevel="0" collapsed="false">
      <c r="B6" s="4" t="n">
        <v>1</v>
      </c>
      <c r="C6" s="5" t="n">
        <v>2</v>
      </c>
      <c r="D6" s="18" t="s">
        <v>98</v>
      </c>
      <c r="E6" s="5" t="n">
        <f aca="false">IF(D6="zapatas y vigas de cimentación",IF(B6&gt;0,'Cimentación 2 pisos '!N4,0),'Platea de Cimentacion'!N4)</f>
        <v>1672.02301632422</v>
      </c>
      <c r="F6" s="17" t="n">
        <f aca="false">B6*E6</f>
        <v>1672.02301632422</v>
      </c>
    </row>
    <row r="7" customFormat="false" ht="15" hidden="false" customHeight="false" outlineLevel="0" collapsed="false">
      <c r="B7" s="4" t="n">
        <v>1153.17</v>
      </c>
      <c r="C7" s="5" t="n">
        <v>3</v>
      </c>
      <c r="D7" s="18" t="s">
        <v>97</v>
      </c>
      <c r="E7" s="5" t="n">
        <f aca="false">IF(D7="zapatas y vigas de cimentación",IF(B7&gt;0,'Cimentación 3 pisos'!N4,0),'Platea de Cimentacion'!N4)</f>
        <v>1077.40065138409</v>
      </c>
      <c r="F7" s="17" t="n">
        <f aca="false">B7*E7</f>
        <v>1242426.10915659</v>
      </c>
    </row>
    <row r="8" customFormat="false" ht="15" hidden="false" customHeight="false" outlineLevel="0" collapsed="false">
      <c r="B8" s="4"/>
      <c r="C8" s="5" t="n">
        <v>4</v>
      </c>
      <c r="D8" s="18" t="s">
        <v>97</v>
      </c>
      <c r="E8" s="5" t="n">
        <f aca="false">IF(D8="zapatas y vigas de cimentación",IF(B8&gt;0,'Cimentación 4 pisos'!N4,0),'Platea de Cimentacion'!N4)</f>
        <v>0</v>
      </c>
      <c r="F8" s="17" t="n">
        <f aca="false">B8*E8</f>
        <v>0</v>
      </c>
    </row>
    <row r="9" customFormat="false" ht="15" hidden="false" customHeight="false" outlineLevel="0" collapsed="false">
      <c r="J9" s="9"/>
    </row>
    <row r="10" customFormat="false" ht="15" hidden="false" customHeight="false" outlineLevel="0" collapsed="false">
      <c r="A10" s="15" t="s">
        <v>99</v>
      </c>
      <c r="B10" s="3" t="s">
        <v>88</v>
      </c>
      <c r="C10" s="3"/>
      <c r="D10" s="3" t="s">
        <v>100</v>
      </c>
      <c r="E10" s="3" t="s">
        <v>96</v>
      </c>
      <c r="F10" s="3" t="s">
        <v>92</v>
      </c>
    </row>
    <row r="11" customFormat="false" ht="15" hidden="false" customHeight="false" outlineLevel="0" collapsed="false">
      <c r="B11" s="4" t="n">
        <v>3459.53</v>
      </c>
      <c r="C11" s="5"/>
      <c r="D11" s="16" t="s">
        <v>8</v>
      </c>
      <c r="E11" s="5" t="n">
        <f aca="false" t="array" ref="E11:E11">_xlfn.IFS(D11="NO",'Estructura 1'!M4,D11="SI",'Estructura 1'!M4+'Estructura 2'!M4)</f>
        <v>858.865739124651</v>
      </c>
      <c r="F11" s="17" t="n">
        <f aca="false">B11*E11</f>
        <v>2971271.7904739</v>
      </c>
    </row>
    <row r="12" customFormat="false" ht="15" hidden="false" customHeight="false" outlineLevel="0" collapsed="false">
      <c r="B12" s="3" t="s">
        <v>101</v>
      </c>
      <c r="C12" s="3"/>
      <c r="D12" s="3"/>
      <c r="E12" s="3" t="s">
        <v>96</v>
      </c>
      <c r="F12" s="3" t="s">
        <v>92</v>
      </c>
      <c r="H12" s="9"/>
    </row>
    <row r="13" customFormat="false" ht="15" hidden="false" customHeight="false" outlineLevel="0" collapsed="false">
      <c r="B13" s="4" t="n">
        <v>1</v>
      </c>
      <c r="C13" s="5"/>
      <c r="D13" s="7"/>
      <c r="E13" s="5" t="n">
        <f aca="false" t="array" ref="E13:E13">_xlfn.IFS(B13=0,0,B13&gt;0,Escalera!N4)</f>
        <v>601.626992726684</v>
      </c>
      <c r="F13" s="17" t="n">
        <f aca="false">B13*E13</f>
        <v>601.626992726684</v>
      </c>
      <c r="M13" s="9"/>
      <c r="N13" s="19"/>
      <c r="O13" s="20"/>
      <c r="P13" s="20"/>
      <c r="Q13" s="9"/>
      <c r="R13" s="19"/>
      <c r="S13" s="20"/>
      <c r="T13" s="9"/>
      <c r="U13" s="19"/>
      <c r="V13" s="20"/>
      <c r="W13" s="9"/>
      <c r="X13" s="19"/>
      <c r="Y13" s="20"/>
      <c r="Z13" s="9"/>
      <c r="AA13" s="19"/>
      <c r="AB13" s="20"/>
    </row>
    <row r="14" customFormat="false" ht="15" hidden="false" customHeight="false" outlineLevel="0" collapsed="false">
      <c r="A14" s="15" t="s">
        <v>16</v>
      </c>
      <c r="G14" s="9"/>
      <c r="M14" s="9"/>
      <c r="N14" s="19"/>
      <c r="O14" s="20"/>
      <c r="P14" s="20"/>
      <c r="Q14" s="9"/>
      <c r="R14" s="19"/>
      <c r="S14" s="20"/>
      <c r="T14" s="9"/>
      <c r="U14" s="19"/>
      <c r="V14" s="20"/>
      <c r="W14" s="9"/>
      <c r="X14" s="19"/>
      <c r="Y14" s="20"/>
      <c r="Z14" s="9"/>
      <c r="AA14" s="19"/>
      <c r="AB14" s="20"/>
    </row>
    <row r="15" customFormat="false" ht="15" hidden="false" customHeight="false" outlineLevel="0" collapsed="false">
      <c r="A15" s="7"/>
      <c r="B15" s="3" t="s">
        <v>17</v>
      </c>
      <c r="C15" s="21" t="s">
        <v>102</v>
      </c>
      <c r="D15" s="3" t="s">
        <v>103</v>
      </c>
      <c r="E15" s="6"/>
      <c r="F15" s="6"/>
      <c r="G15" s="6"/>
      <c r="H15" s="6"/>
      <c r="M15" s="9"/>
      <c r="N15" s="19"/>
      <c r="O15" s="20"/>
      <c r="P15" s="20"/>
      <c r="Q15" s="9"/>
      <c r="R15" s="19"/>
      <c r="S15" s="20"/>
      <c r="T15" s="9"/>
      <c r="U15" s="19"/>
      <c r="V15" s="20"/>
      <c r="W15" s="9"/>
      <c r="X15" s="19"/>
      <c r="Y15" s="20"/>
      <c r="Z15" s="9"/>
      <c r="AA15" s="19"/>
      <c r="AB15" s="20"/>
    </row>
    <row r="16" customFormat="false" ht="15" hidden="false" customHeight="false" outlineLevel="0" collapsed="false">
      <c r="A16" s="8" t="s">
        <v>19</v>
      </c>
      <c r="B16" s="4" t="n">
        <v>1</v>
      </c>
      <c r="C16" s="4" t="n">
        <v>91.46</v>
      </c>
      <c r="D16" s="5" t="n">
        <f aca="false">B16*C16</f>
        <v>91.46</v>
      </c>
      <c r="E16" s="6"/>
      <c r="F16" s="6"/>
      <c r="G16" s="6"/>
      <c r="H16" s="6"/>
      <c r="M16" s="9"/>
      <c r="N16" s="19"/>
      <c r="O16" s="20"/>
      <c r="P16" s="20"/>
      <c r="Q16" s="9"/>
      <c r="R16" s="19"/>
      <c r="S16" s="20"/>
      <c r="T16" s="9"/>
      <c r="U16" s="19"/>
      <c r="V16" s="20"/>
      <c r="W16" s="9"/>
      <c r="X16" s="19"/>
      <c r="Y16" s="20"/>
      <c r="Z16" s="9"/>
      <c r="AA16" s="19"/>
      <c r="AB16" s="20"/>
    </row>
    <row r="17" customFormat="false" ht="15" hidden="false" customHeight="false" outlineLevel="0" collapsed="false">
      <c r="A17" s="8" t="s">
        <v>20</v>
      </c>
      <c r="B17" s="4" t="n">
        <v>1</v>
      </c>
      <c r="C17" s="4" t="n">
        <v>91.45</v>
      </c>
      <c r="D17" s="22" t="n">
        <f aca="false">B17*C17</f>
        <v>91.45</v>
      </c>
      <c r="E17" s="6"/>
      <c r="G17" s="6"/>
      <c r="H17" s="6"/>
      <c r="I17" s="6"/>
      <c r="M17" s="9"/>
      <c r="N17" s="19"/>
      <c r="O17" s="20"/>
      <c r="P17" s="20"/>
      <c r="Q17" s="9"/>
      <c r="R17" s="19"/>
      <c r="S17" s="20"/>
      <c r="T17" s="9"/>
      <c r="U17" s="19"/>
      <c r="V17" s="20"/>
      <c r="W17" s="9"/>
      <c r="X17" s="19"/>
      <c r="Y17" s="20"/>
      <c r="Z17" s="9"/>
      <c r="AA17" s="19"/>
      <c r="AB17" s="20"/>
    </row>
    <row r="18" customFormat="false" ht="15" hidden="false" customHeight="false" outlineLevel="0" collapsed="false">
      <c r="A18" s="8" t="s">
        <v>21</v>
      </c>
      <c r="B18" s="4"/>
      <c r="C18" s="4"/>
      <c r="D18" s="22" t="n">
        <f aca="false">B18*C18</f>
        <v>0</v>
      </c>
      <c r="E18" s="6"/>
      <c r="G18" s="6"/>
      <c r="H18" s="6"/>
      <c r="I18" s="6"/>
      <c r="M18" s="9"/>
      <c r="N18" s="19"/>
      <c r="O18" s="20"/>
      <c r="P18" s="20"/>
      <c r="Q18" s="9"/>
      <c r="R18" s="19"/>
      <c r="S18" s="20"/>
      <c r="T18" s="9"/>
      <c r="U18" s="19"/>
      <c r="V18" s="20"/>
      <c r="W18" s="9"/>
      <c r="X18" s="19"/>
      <c r="Y18" s="20"/>
      <c r="Z18" s="9"/>
      <c r="AA18" s="19"/>
      <c r="AB18" s="20"/>
    </row>
    <row r="19" customFormat="false" ht="15" hidden="false" customHeight="false" outlineLevel="0" collapsed="false">
      <c r="A19" s="8" t="s">
        <v>22</v>
      </c>
      <c r="B19" s="4" t="n">
        <v>1</v>
      </c>
      <c r="C19" s="4" t="n">
        <f aca="false">70.7+122+122</f>
        <v>314.7</v>
      </c>
      <c r="D19" s="22" t="n">
        <f aca="false">B19*C19</f>
        <v>314.7</v>
      </c>
      <c r="E19" s="6"/>
      <c r="G19" s="6"/>
      <c r="H19" s="6"/>
      <c r="I19" s="6"/>
      <c r="M19" s="9"/>
      <c r="N19" s="19"/>
      <c r="O19" s="20"/>
      <c r="P19" s="20"/>
      <c r="Q19" s="9"/>
      <c r="R19" s="19"/>
      <c r="S19" s="20"/>
      <c r="T19" s="9"/>
      <c r="U19" s="19"/>
      <c r="V19" s="20"/>
      <c r="W19" s="9"/>
      <c r="X19" s="19"/>
      <c r="Y19" s="20"/>
      <c r="Z19" s="9"/>
      <c r="AA19" s="19"/>
      <c r="AB19" s="20"/>
    </row>
    <row r="20" customFormat="false" ht="15" hidden="false" customHeight="false" outlineLevel="0" collapsed="false">
      <c r="A20" s="8" t="s">
        <v>23</v>
      </c>
      <c r="B20" s="4" t="n">
        <v>1</v>
      </c>
      <c r="C20" s="4" t="n">
        <v>25.3</v>
      </c>
      <c r="D20" s="22" t="n">
        <f aca="false">B20*C20</f>
        <v>25.3</v>
      </c>
      <c r="E20" s="6"/>
      <c r="G20" s="6"/>
      <c r="H20" s="6"/>
      <c r="I20" s="6"/>
      <c r="M20" s="9"/>
      <c r="N20" s="19"/>
      <c r="O20" s="20"/>
      <c r="P20" s="20"/>
      <c r="Q20" s="9"/>
      <c r="R20" s="19"/>
      <c r="S20" s="20"/>
      <c r="T20" s="9"/>
      <c r="U20" s="19"/>
      <c r="V20" s="20"/>
      <c r="W20" s="9"/>
      <c r="X20" s="19"/>
      <c r="Y20" s="20"/>
      <c r="Z20" s="9"/>
      <c r="AA20" s="19"/>
      <c r="AB20" s="20"/>
    </row>
    <row r="21" customFormat="false" ht="15" hidden="false" customHeight="false" outlineLevel="0" collapsed="false">
      <c r="A21" s="8" t="s">
        <v>24</v>
      </c>
      <c r="B21" s="4" t="n">
        <v>1</v>
      </c>
      <c r="C21" s="4" t="n">
        <v>20</v>
      </c>
      <c r="D21" s="22" t="n">
        <f aca="false">B21*C21</f>
        <v>20</v>
      </c>
      <c r="E21" s="6"/>
      <c r="G21" s="6"/>
      <c r="H21" s="6"/>
      <c r="I21" s="6"/>
      <c r="M21" s="9"/>
    </row>
    <row r="22" customFormat="false" ht="15" hidden="false" customHeight="false" outlineLevel="0" collapsed="false">
      <c r="A22" s="8" t="s">
        <v>25</v>
      </c>
      <c r="B22" s="4"/>
      <c r="C22" s="4"/>
      <c r="D22" s="22" t="n">
        <f aca="false">B22*C22</f>
        <v>0</v>
      </c>
      <c r="E22" s="6"/>
      <c r="G22" s="6"/>
      <c r="H22" s="6"/>
      <c r="I22" s="6"/>
      <c r="M22" s="9"/>
    </row>
    <row r="23" customFormat="false" ht="15" hidden="false" customHeight="false" outlineLevel="0" collapsed="false">
      <c r="A23" s="8" t="s">
        <v>26</v>
      </c>
      <c r="B23" s="4"/>
      <c r="C23" s="4"/>
      <c r="D23" s="22" t="n">
        <f aca="false">B23*C23</f>
        <v>0</v>
      </c>
      <c r="E23" s="6"/>
      <c r="G23" s="6"/>
      <c r="H23" s="6"/>
      <c r="I23" s="6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</row>
    <row r="24" customFormat="false" ht="15" hidden="false" customHeight="false" outlineLevel="0" collapsed="false">
      <c r="A24" s="8" t="s">
        <v>27</v>
      </c>
      <c r="B24" s="4" t="n">
        <v>1</v>
      </c>
      <c r="C24" s="4" t="n">
        <v>8.6</v>
      </c>
      <c r="D24" s="22" t="n">
        <f aca="false">B24*C24</f>
        <v>8.6</v>
      </c>
      <c r="E24" s="6"/>
      <c r="G24" s="6"/>
      <c r="H24" s="6"/>
      <c r="I24" s="6"/>
    </row>
    <row r="25" customFormat="false" ht="15" hidden="false" customHeight="false" outlineLevel="0" collapsed="false">
      <c r="A25" s="8" t="s">
        <v>28</v>
      </c>
      <c r="B25" s="4"/>
      <c r="C25" s="4"/>
      <c r="D25" s="22" t="n">
        <f aca="false">B25*C25</f>
        <v>0</v>
      </c>
      <c r="E25" s="6"/>
      <c r="G25" s="6"/>
      <c r="H25" s="6"/>
      <c r="I25" s="6"/>
    </row>
    <row r="26" customFormat="false" ht="15" hidden="false" customHeight="false" outlineLevel="0" collapsed="false">
      <c r="A26" s="8" t="s">
        <v>29</v>
      </c>
      <c r="B26" s="4" t="n">
        <v>1</v>
      </c>
      <c r="C26" s="4" t="n">
        <f aca="false">50.8+60.3</f>
        <v>111.1</v>
      </c>
      <c r="D26" s="22" t="n">
        <f aca="false">B26*C26</f>
        <v>111.1</v>
      </c>
      <c r="E26" s="6"/>
      <c r="G26" s="6"/>
      <c r="H26" s="6"/>
      <c r="I26" s="6"/>
    </row>
    <row r="27" customFormat="false" ht="15" hidden="false" customHeight="false" outlineLevel="0" collapsed="false">
      <c r="A27" s="8" t="s">
        <v>30</v>
      </c>
      <c r="B27" s="4"/>
      <c r="C27" s="4"/>
      <c r="D27" s="22" t="n">
        <f aca="false">B27*C27</f>
        <v>0</v>
      </c>
      <c r="E27" s="6"/>
      <c r="G27" s="6"/>
      <c r="H27" s="6"/>
      <c r="I27" s="6"/>
      <c r="O27" s="15"/>
    </row>
    <row r="28" customFormat="false" ht="15" hidden="false" customHeight="false" outlineLevel="0" collapsed="false">
      <c r="A28" s="8" t="s">
        <v>31</v>
      </c>
      <c r="B28" s="4"/>
      <c r="C28" s="4"/>
      <c r="D28" s="22" t="n">
        <f aca="false">B28*C28</f>
        <v>0</v>
      </c>
      <c r="E28" s="6"/>
      <c r="G28" s="6"/>
      <c r="H28" s="6"/>
      <c r="I28" s="6"/>
      <c r="M28" s="9"/>
      <c r="N28" s="23"/>
      <c r="O28" s="19"/>
      <c r="P28" s="20"/>
      <c r="Q28" s="9"/>
      <c r="R28" s="23"/>
      <c r="S28" s="19"/>
      <c r="T28" s="20"/>
      <c r="U28" s="9"/>
      <c r="V28" s="23"/>
      <c r="W28" s="19"/>
      <c r="X28" s="20"/>
      <c r="Y28" s="9"/>
      <c r="Z28" s="23"/>
      <c r="AA28" s="19"/>
      <c r="AB28" s="20"/>
      <c r="AC28" s="9"/>
      <c r="AD28" s="23"/>
      <c r="AE28" s="19"/>
      <c r="AF28" s="20"/>
    </row>
    <row r="29" customFormat="false" ht="15" hidden="false" customHeight="false" outlineLevel="0" collapsed="false">
      <c r="A29" s="8" t="s">
        <v>32</v>
      </c>
      <c r="B29" s="4" t="n">
        <v>1</v>
      </c>
      <c r="C29" s="4" t="n">
        <v>90.88</v>
      </c>
      <c r="D29" s="5" t="n">
        <f aca="false">B29*C29</f>
        <v>90.88</v>
      </c>
      <c r="E29" s="6"/>
      <c r="G29" s="6"/>
      <c r="H29" s="6"/>
      <c r="I29" s="6"/>
      <c r="M29" s="9"/>
      <c r="N29" s="23"/>
      <c r="O29" s="19"/>
      <c r="P29" s="20"/>
      <c r="Q29" s="9"/>
      <c r="R29" s="23"/>
      <c r="S29" s="19"/>
      <c r="T29" s="20"/>
      <c r="U29" s="9"/>
      <c r="V29" s="23"/>
      <c r="W29" s="19"/>
      <c r="X29" s="20"/>
      <c r="Y29" s="9"/>
      <c r="Z29" s="23"/>
      <c r="AA29" s="19"/>
      <c r="AB29" s="20"/>
      <c r="AC29" s="9"/>
      <c r="AD29" s="23"/>
      <c r="AE29" s="19"/>
      <c r="AF29" s="20"/>
    </row>
    <row r="30" customFormat="false" ht="15" hidden="false" customHeight="false" outlineLevel="0" collapsed="false">
      <c r="A30" s="8" t="s">
        <v>33</v>
      </c>
      <c r="B30" s="4"/>
      <c r="C30" s="4"/>
      <c r="D30" s="5" t="n">
        <f aca="false">B30*C30</f>
        <v>0</v>
      </c>
      <c r="E30" s="6"/>
      <c r="G30" s="6"/>
      <c r="H30" s="6"/>
      <c r="I30" s="6"/>
      <c r="M30" s="9"/>
      <c r="N30" s="23"/>
      <c r="O30" s="19"/>
      <c r="P30" s="20"/>
      <c r="Q30" s="9"/>
      <c r="R30" s="23"/>
      <c r="S30" s="19"/>
      <c r="T30" s="20"/>
      <c r="U30" s="9"/>
      <c r="V30" s="23"/>
      <c r="W30" s="19"/>
      <c r="X30" s="20"/>
      <c r="Y30" s="9"/>
      <c r="Z30" s="23"/>
      <c r="AA30" s="19"/>
      <c r="AB30" s="20"/>
      <c r="AC30" s="9"/>
      <c r="AD30" s="23"/>
      <c r="AE30" s="19"/>
      <c r="AF30" s="20"/>
    </row>
    <row r="31" customFormat="false" ht="15" hidden="false" customHeight="false" outlineLevel="0" collapsed="false">
      <c r="A31" s="8" t="s">
        <v>34</v>
      </c>
      <c r="B31" s="4"/>
      <c r="C31" s="4"/>
      <c r="D31" s="5" t="n">
        <f aca="false">B31*C31</f>
        <v>0</v>
      </c>
      <c r="E31" s="6"/>
      <c r="G31" s="6"/>
      <c r="H31" s="6"/>
      <c r="I31" s="6"/>
      <c r="M31" s="9"/>
      <c r="N31" s="23"/>
      <c r="O31" s="19"/>
      <c r="P31" s="20"/>
      <c r="Q31" s="9"/>
      <c r="R31" s="23"/>
      <c r="S31" s="19"/>
      <c r="T31" s="20"/>
      <c r="U31" s="9"/>
      <c r="V31" s="23"/>
      <c r="W31" s="19"/>
      <c r="X31" s="20"/>
      <c r="Y31" s="9"/>
      <c r="Z31" s="23"/>
      <c r="AA31" s="19"/>
      <c r="AB31" s="20"/>
      <c r="AC31" s="9"/>
      <c r="AD31" s="23"/>
      <c r="AE31" s="19"/>
      <c r="AF31" s="20"/>
    </row>
    <row r="32" customFormat="false" ht="15" hidden="false" customHeight="false" outlineLevel="0" collapsed="false">
      <c r="A32" s="8" t="s">
        <v>35</v>
      </c>
      <c r="B32" s="4" t="n">
        <v>1</v>
      </c>
      <c r="C32" s="4" t="n">
        <v>20.04</v>
      </c>
      <c r="D32" s="5" t="n">
        <f aca="false">B32*C32</f>
        <v>20.04</v>
      </c>
      <c r="E32" s="6"/>
      <c r="F32" s="6"/>
      <c r="G32" s="6"/>
      <c r="H32" s="6"/>
      <c r="M32" s="9"/>
      <c r="N32" s="23"/>
      <c r="O32" s="19"/>
      <c r="P32" s="20"/>
      <c r="Q32" s="9"/>
      <c r="R32" s="23"/>
      <c r="S32" s="19"/>
      <c r="T32" s="20"/>
      <c r="U32" s="9"/>
      <c r="V32" s="23"/>
      <c r="W32" s="19"/>
      <c r="X32" s="20"/>
      <c r="Y32" s="9"/>
      <c r="Z32" s="23"/>
      <c r="AA32" s="19"/>
      <c r="AB32" s="20"/>
      <c r="AC32" s="9"/>
      <c r="AD32" s="23"/>
      <c r="AE32" s="19"/>
      <c r="AF32" s="20"/>
    </row>
    <row r="33" customFormat="false" ht="15" hidden="false" customHeight="false" outlineLevel="0" collapsed="false">
      <c r="A33" s="8" t="s">
        <v>36</v>
      </c>
      <c r="B33" s="4" t="n">
        <v>1</v>
      </c>
      <c r="C33" s="4" t="n">
        <v>25</v>
      </c>
      <c r="D33" s="5" t="n">
        <f aca="false">B33*C33</f>
        <v>25</v>
      </c>
      <c r="E33" s="6"/>
      <c r="F33" s="6"/>
      <c r="G33" s="6"/>
      <c r="H33" s="6"/>
      <c r="M33" s="9"/>
      <c r="N33" s="23"/>
      <c r="O33" s="19"/>
      <c r="P33" s="20"/>
      <c r="Q33" s="9"/>
      <c r="R33" s="23"/>
      <c r="S33" s="19"/>
      <c r="T33" s="20"/>
      <c r="U33" s="9"/>
      <c r="V33" s="23"/>
      <c r="W33" s="19"/>
      <c r="X33" s="20"/>
      <c r="Y33" s="9"/>
      <c r="Z33" s="23"/>
      <c r="AA33" s="19"/>
      <c r="AB33" s="20"/>
      <c r="AC33" s="9"/>
      <c r="AD33" s="23"/>
      <c r="AE33" s="19"/>
      <c r="AF33" s="20"/>
    </row>
    <row r="34" customFormat="false" ht="15" hidden="false" customHeight="false" outlineLevel="0" collapsed="false">
      <c r="A34" s="8" t="s">
        <v>37</v>
      </c>
      <c r="B34" s="4" t="n">
        <v>1</v>
      </c>
      <c r="C34" s="4" t="n">
        <v>14.3</v>
      </c>
      <c r="D34" s="5" t="n">
        <f aca="false">B34*C34</f>
        <v>14.3</v>
      </c>
      <c r="E34" s="6"/>
      <c r="F34" s="6"/>
      <c r="G34" s="6"/>
      <c r="H34" s="6"/>
      <c r="M34" s="9"/>
      <c r="N34" s="23"/>
      <c r="O34" s="19"/>
      <c r="P34" s="20"/>
      <c r="Q34" s="9"/>
      <c r="R34" s="23"/>
      <c r="S34" s="19"/>
      <c r="T34" s="20"/>
      <c r="U34" s="9"/>
      <c r="V34" s="23"/>
      <c r="W34" s="19"/>
      <c r="X34" s="20"/>
      <c r="Y34" s="9"/>
      <c r="Z34" s="23"/>
      <c r="AA34" s="19"/>
      <c r="AB34" s="20"/>
      <c r="AC34" s="9"/>
      <c r="AD34" s="23"/>
      <c r="AE34" s="19"/>
      <c r="AF34" s="20"/>
    </row>
    <row r="35" customFormat="false" ht="15" hidden="false" customHeight="false" outlineLevel="0" collapsed="false">
      <c r="A35" s="8" t="s">
        <v>38</v>
      </c>
      <c r="B35" s="4" t="n">
        <v>1</v>
      </c>
      <c r="C35" s="4" t="n">
        <f aca="false">6.2+12.2</f>
        <v>18.4</v>
      </c>
      <c r="D35" s="5" t="n">
        <f aca="false">B35*C35</f>
        <v>18.4</v>
      </c>
      <c r="E35" s="6"/>
      <c r="F35" s="6"/>
      <c r="G35" s="6"/>
      <c r="H35" s="6"/>
      <c r="M35" s="9"/>
      <c r="N35" s="23"/>
      <c r="O35" s="19"/>
      <c r="P35" s="20"/>
      <c r="Q35" s="9"/>
      <c r="R35" s="23"/>
      <c r="S35" s="19"/>
      <c r="T35" s="20"/>
      <c r="U35" s="9"/>
      <c r="V35" s="23"/>
      <c r="W35" s="19"/>
      <c r="X35" s="20"/>
      <c r="Y35" s="9"/>
      <c r="Z35" s="23"/>
      <c r="AA35" s="19"/>
      <c r="AB35" s="20"/>
      <c r="AC35" s="9"/>
      <c r="AD35" s="23"/>
      <c r="AE35" s="19"/>
      <c r="AF35" s="20"/>
    </row>
    <row r="36" customFormat="false" ht="15" hidden="false" customHeight="false" outlineLevel="0" collapsed="false">
      <c r="A36" s="8" t="s">
        <v>39</v>
      </c>
      <c r="B36" s="4" t="n">
        <v>1</v>
      </c>
      <c r="C36" s="4" t="n">
        <v>3.11</v>
      </c>
      <c r="D36" s="5" t="n">
        <f aca="false">B36*C36</f>
        <v>3.11</v>
      </c>
      <c r="E36" s="6"/>
      <c r="F36" s="6"/>
      <c r="G36" s="6"/>
      <c r="H36" s="6"/>
      <c r="M36" s="9"/>
      <c r="N36" s="23"/>
      <c r="O36" s="9"/>
      <c r="P36" s="20"/>
      <c r="Q36" s="9"/>
      <c r="R36" s="23"/>
      <c r="S36" s="9"/>
      <c r="T36" s="20"/>
      <c r="U36" s="9"/>
      <c r="V36" s="23"/>
      <c r="W36" s="9"/>
      <c r="X36" s="20"/>
      <c r="Y36" s="9"/>
      <c r="Z36" s="23"/>
      <c r="AA36" s="9"/>
      <c r="AB36" s="20"/>
      <c r="AC36" s="9"/>
      <c r="AD36" s="20"/>
      <c r="AE36" s="19"/>
      <c r="AF36" s="20"/>
    </row>
    <row r="37" customFormat="false" ht="15" hidden="false" customHeight="false" outlineLevel="0" collapsed="false">
      <c r="A37" s="8" t="s">
        <v>40</v>
      </c>
      <c r="B37" s="4"/>
      <c r="C37" s="4"/>
      <c r="D37" s="5" t="n">
        <f aca="false">B37*C37</f>
        <v>0</v>
      </c>
      <c r="E37" s="6"/>
      <c r="F37" s="6"/>
      <c r="G37" s="6"/>
      <c r="H37" s="6"/>
      <c r="M37" s="9"/>
      <c r="N37" s="23"/>
      <c r="O37" s="9"/>
      <c r="P37" s="20"/>
      <c r="Q37" s="9"/>
      <c r="R37" s="23"/>
      <c r="S37" s="9"/>
      <c r="T37" s="20"/>
      <c r="U37" s="9"/>
      <c r="V37" s="23"/>
      <c r="W37" s="9"/>
      <c r="X37" s="20"/>
      <c r="Y37" s="9"/>
      <c r="Z37" s="23"/>
      <c r="AA37" s="9"/>
      <c r="AB37" s="20"/>
      <c r="AC37" s="9"/>
      <c r="AD37" s="20"/>
      <c r="AE37" s="19"/>
      <c r="AF37" s="20"/>
    </row>
    <row r="38" customFormat="false" ht="15" hidden="false" customHeight="false" outlineLevel="0" collapsed="false">
      <c r="A38" s="8" t="s">
        <v>41</v>
      </c>
      <c r="B38" s="4"/>
      <c r="C38" s="4"/>
      <c r="D38" s="5" t="n">
        <f aca="false">B38*C38</f>
        <v>0</v>
      </c>
      <c r="E38" s="6"/>
      <c r="F38" s="6"/>
      <c r="M38" s="9"/>
    </row>
    <row r="39" customFormat="false" ht="15" hidden="false" customHeight="false" outlineLevel="0" collapsed="false">
      <c r="A39" s="8" t="s">
        <v>42</v>
      </c>
      <c r="B39" s="4"/>
      <c r="C39" s="4"/>
      <c r="D39" s="5" t="n">
        <f aca="false">B39*C39</f>
        <v>0</v>
      </c>
      <c r="E39" s="6"/>
      <c r="F39" s="6"/>
      <c r="M39" s="9"/>
    </row>
    <row r="40" customFormat="false" ht="15" hidden="false" customHeight="false" outlineLevel="0" collapsed="false">
      <c r="A40" s="8" t="s">
        <v>43</v>
      </c>
      <c r="B40" s="4"/>
      <c r="C40" s="4"/>
      <c r="D40" s="5" t="n">
        <f aca="false">B40*C40</f>
        <v>0</v>
      </c>
      <c r="E40" s="6"/>
      <c r="F40" s="6"/>
      <c r="M40" s="9"/>
    </row>
    <row r="41" customFormat="false" ht="15" hidden="false" customHeight="false" outlineLevel="0" collapsed="false">
      <c r="A41" s="8" t="s">
        <v>44</v>
      </c>
      <c r="B41" s="4"/>
      <c r="C41" s="4"/>
      <c r="D41" s="5" t="n">
        <f aca="false">B41*C41</f>
        <v>0</v>
      </c>
      <c r="E41" s="6"/>
      <c r="F41" s="6"/>
      <c r="M41" s="9"/>
    </row>
    <row r="42" customFormat="false" ht="15" hidden="false" customHeight="false" outlineLevel="0" collapsed="false">
      <c r="A42" s="8" t="s">
        <v>45</v>
      </c>
      <c r="B42" s="4" t="n">
        <v>1</v>
      </c>
      <c r="C42" s="4" t="n">
        <f aca="false">3.23+48.4+48.4+45.85+45.85</f>
        <v>191.73</v>
      </c>
      <c r="D42" s="5" t="n">
        <f aca="false">B42*C42</f>
        <v>191.73</v>
      </c>
      <c r="E42" s="6"/>
      <c r="F42" s="6"/>
      <c r="M42" s="9"/>
    </row>
    <row r="43" customFormat="false" ht="15" hidden="false" customHeight="false" outlineLevel="0" collapsed="false">
      <c r="A43" s="8" t="s">
        <v>46</v>
      </c>
      <c r="B43" s="4"/>
      <c r="C43" s="4"/>
      <c r="D43" s="5" t="n">
        <f aca="false">B43*C43</f>
        <v>0</v>
      </c>
      <c r="E43" s="6"/>
      <c r="F43" s="6"/>
      <c r="M43" s="9"/>
    </row>
    <row r="44" customFormat="false" ht="15" hidden="false" customHeight="false" outlineLevel="0" collapsed="false">
      <c r="A44" s="8" t="s">
        <v>47</v>
      </c>
      <c r="B44" s="4" t="n">
        <v>1</v>
      </c>
      <c r="C44" s="4" t="n">
        <v>55.9</v>
      </c>
      <c r="D44" s="5" t="n">
        <f aca="false">B44*C44</f>
        <v>55.9</v>
      </c>
      <c r="E44" s="6"/>
      <c r="F44" s="6"/>
    </row>
    <row r="45" customFormat="false" ht="15" hidden="false" customHeight="false" outlineLevel="0" collapsed="false">
      <c r="A45" s="8" t="s">
        <v>48</v>
      </c>
      <c r="B45" s="4"/>
      <c r="C45" s="4"/>
      <c r="D45" s="5" t="n">
        <f aca="false">B45*C45</f>
        <v>0</v>
      </c>
      <c r="E45" s="6"/>
      <c r="F45" s="6"/>
    </row>
    <row r="46" customFormat="false" ht="15" hidden="false" customHeight="false" outlineLevel="0" collapsed="false">
      <c r="A46" s="8" t="s">
        <v>49</v>
      </c>
      <c r="B46" s="4"/>
      <c r="C46" s="4"/>
      <c r="D46" s="5" t="n">
        <f aca="false">B46*C46</f>
        <v>0</v>
      </c>
      <c r="E46" s="6"/>
      <c r="F46" s="6"/>
    </row>
    <row r="47" customFormat="false" ht="15" hidden="false" customHeight="false" outlineLevel="0" collapsed="false">
      <c r="A47" s="8" t="s">
        <v>50</v>
      </c>
      <c r="B47" s="4" t="n">
        <v>1</v>
      </c>
      <c r="C47" s="4" t="n">
        <f aca="false">9.57+36.16</f>
        <v>45.73</v>
      </c>
      <c r="D47" s="5" t="n">
        <f aca="false">B47*C47</f>
        <v>45.73</v>
      </c>
      <c r="E47" s="6"/>
      <c r="F47" s="6"/>
    </row>
    <row r="48" customFormat="false" ht="15" hidden="false" customHeight="false" outlineLevel="0" collapsed="false">
      <c r="A48" s="8" t="s">
        <v>51</v>
      </c>
      <c r="B48" s="4"/>
      <c r="C48" s="4"/>
      <c r="D48" s="5" t="n">
        <f aca="false">B48*C48</f>
        <v>0</v>
      </c>
      <c r="E48" s="6"/>
      <c r="F48" s="6"/>
    </row>
    <row r="49" customFormat="false" ht="15" hidden="false" customHeight="false" outlineLevel="0" collapsed="false">
      <c r="A49" s="8" t="s">
        <v>52</v>
      </c>
      <c r="B49" s="4"/>
      <c r="C49" s="4"/>
      <c r="D49" s="5" t="n">
        <f aca="false">B49*C49</f>
        <v>0</v>
      </c>
      <c r="E49" s="6"/>
      <c r="F49" s="6"/>
    </row>
    <row r="50" customFormat="false" ht="15" hidden="false" customHeight="false" outlineLevel="0" collapsed="false">
      <c r="A50" s="8" t="s">
        <v>53</v>
      </c>
      <c r="B50" s="4"/>
      <c r="C50" s="4"/>
      <c r="D50" s="5" t="n">
        <f aca="false">B50*C50</f>
        <v>0</v>
      </c>
      <c r="E50" s="6"/>
      <c r="F50" s="6"/>
    </row>
    <row r="51" customFormat="false" ht="15" hidden="false" customHeight="false" outlineLevel="0" collapsed="false">
      <c r="A51" s="8" t="s">
        <v>54</v>
      </c>
      <c r="B51" s="4"/>
      <c r="C51" s="4"/>
      <c r="D51" s="5" t="n">
        <f aca="false">B51*C51</f>
        <v>0</v>
      </c>
      <c r="E51" s="6"/>
      <c r="F51" s="6"/>
    </row>
    <row r="52" customFormat="false" ht="15" hidden="false" customHeight="false" outlineLevel="0" collapsed="false">
      <c r="A52" s="8" t="s">
        <v>55</v>
      </c>
      <c r="B52" s="4" t="n">
        <v>1</v>
      </c>
      <c r="C52" s="4" t="n">
        <f aca="false">3.55+6</f>
        <v>9.55</v>
      </c>
      <c r="D52" s="5" t="n">
        <f aca="false">B52*C52</f>
        <v>9.55</v>
      </c>
      <c r="E52" s="6"/>
      <c r="F52" s="6"/>
      <c r="R52" s="9"/>
    </row>
    <row r="53" customFormat="false" ht="15" hidden="false" customHeight="false" outlineLevel="0" collapsed="false">
      <c r="A53" s="8" t="s">
        <v>56</v>
      </c>
      <c r="B53" s="4" t="n">
        <v>1</v>
      </c>
      <c r="C53" s="4" t="n">
        <f aca="false">19.6+19.6</f>
        <v>39.2</v>
      </c>
      <c r="D53" s="5" t="n">
        <f aca="false">B53*C53</f>
        <v>39.2</v>
      </c>
      <c r="E53" s="6"/>
      <c r="F53" s="6"/>
      <c r="R53" s="9"/>
    </row>
    <row r="54" customFormat="false" ht="15" hidden="false" customHeight="false" outlineLevel="0" collapsed="false">
      <c r="A54" s="8" t="s">
        <v>57</v>
      </c>
      <c r="B54" s="4"/>
      <c r="C54" s="4"/>
      <c r="D54" s="5" t="n">
        <f aca="false">B54*C54</f>
        <v>0</v>
      </c>
      <c r="E54" s="6"/>
      <c r="F54" s="6"/>
      <c r="R54" s="9"/>
    </row>
    <row r="55" customFormat="false" ht="15" hidden="false" customHeight="false" outlineLevel="0" collapsed="false">
      <c r="A55" s="8" t="s">
        <v>58</v>
      </c>
      <c r="B55" s="4"/>
      <c r="C55" s="4"/>
      <c r="D55" s="5" t="n">
        <f aca="false">B55*C55</f>
        <v>0</v>
      </c>
      <c r="E55" s="6"/>
      <c r="F55" s="6"/>
      <c r="R55" s="9"/>
    </row>
    <row r="56" customFormat="false" ht="15" hidden="false" customHeight="false" outlineLevel="0" collapsed="false">
      <c r="A56" s="8" t="s">
        <v>59</v>
      </c>
      <c r="B56" s="4"/>
      <c r="C56" s="4"/>
      <c r="D56" s="5" t="n">
        <f aca="false">B56*C56</f>
        <v>0</v>
      </c>
      <c r="E56" s="6"/>
      <c r="F56" s="6"/>
      <c r="R56" s="9"/>
    </row>
    <row r="57" customFormat="false" ht="15" hidden="false" customHeight="false" outlineLevel="0" collapsed="false">
      <c r="A57" s="8" t="s">
        <v>60</v>
      </c>
      <c r="B57" s="4"/>
      <c r="C57" s="4"/>
      <c r="D57" s="5" t="n">
        <f aca="false">B57*C57</f>
        <v>0</v>
      </c>
      <c r="E57" s="6"/>
      <c r="F57" s="6"/>
      <c r="R57" s="9"/>
    </row>
    <row r="58" customFormat="false" ht="15" hidden="false" customHeight="false" outlineLevel="0" collapsed="false">
      <c r="A58" s="8" t="s">
        <v>61</v>
      </c>
      <c r="B58" s="4" t="n">
        <v>1</v>
      </c>
      <c r="C58" s="4" t="n">
        <f aca="false">2*40+3*42.8+3*42.8+2*60.3+3*60.3</f>
        <v>638.3</v>
      </c>
      <c r="D58" s="5" t="n">
        <f aca="false">B58*C58</f>
        <v>638.3</v>
      </c>
      <c r="E58" s="6"/>
      <c r="F58" s="6"/>
      <c r="R58" s="9"/>
    </row>
    <row r="59" customFormat="false" ht="15" hidden="false" customHeight="false" outlineLevel="0" collapsed="false">
      <c r="A59" s="8" t="s">
        <v>62</v>
      </c>
      <c r="B59" s="4"/>
      <c r="C59" s="4"/>
      <c r="D59" s="5" t="n">
        <f aca="false">B59*C59</f>
        <v>0</v>
      </c>
      <c r="E59" s="6"/>
      <c r="F59" s="6"/>
      <c r="R59" s="9"/>
    </row>
    <row r="60" customFormat="false" ht="15" hidden="false" customHeight="false" outlineLevel="0" collapsed="false">
      <c r="A60" s="8" t="s">
        <v>63</v>
      </c>
      <c r="B60" s="4"/>
      <c r="C60" s="4"/>
      <c r="D60" s="5" t="n">
        <f aca="false">B60*C60</f>
        <v>0</v>
      </c>
      <c r="E60" s="6"/>
      <c r="F60" s="6"/>
      <c r="G60" s="6"/>
      <c r="H60" s="6"/>
      <c r="R60" s="9"/>
    </row>
    <row r="61" customFormat="false" ht="15" hidden="false" customHeight="false" outlineLevel="0" collapsed="false">
      <c r="A61" s="8" t="s">
        <v>64</v>
      </c>
      <c r="B61" s="4" t="n">
        <v>1</v>
      </c>
      <c r="C61" s="4" t="n">
        <f aca="false">85.25+64.55</f>
        <v>149.8</v>
      </c>
      <c r="D61" s="5" t="n">
        <f aca="false">B61*C61</f>
        <v>149.8</v>
      </c>
      <c r="E61" s="6"/>
      <c r="F61" s="6"/>
      <c r="G61" s="6"/>
      <c r="H61" s="6"/>
      <c r="R61" s="9"/>
    </row>
    <row r="62" customFormat="false" ht="15" hidden="false" customHeight="false" outlineLevel="0" collapsed="false">
      <c r="A62" s="8" t="s">
        <v>65</v>
      </c>
      <c r="B62" s="4"/>
      <c r="C62" s="4"/>
      <c r="D62" s="5" t="n">
        <f aca="false">B62*C62</f>
        <v>0</v>
      </c>
      <c r="E62" s="6"/>
      <c r="F62" s="6"/>
      <c r="G62" s="6"/>
      <c r="H62" s="6"/>
    </row>
    <row r="63" customFormat="false" ht="15" hidden="false" customHeight="false" outlineLevel="0" collapsed="false">
      <c r="A63" s="8" t="s">
        <v>66</v>
      </c>
      <c r="B63" s="4" t="n">
        <v>1</v>
      </c>
      <c r="C63" s="4" t="n">
        <v>12.17</v>
      </c>
      <c r="D63" s="5" t="n">
        <f aca="false">B63*C63</f>
        <v>12.17</v>
      </c>
      <c r="E63" s="6"/>
      <c r="F63" s="6"/>
      <c r="G63" s="6"/>
      <c r="H63" s="6"/>
    </row>
    <row r="64" customFormat="false" ht="15" hidden="false" customHeight="false" outlineLevel="0" collapsed="false">
      <c r="A64" s="8" t="s">
        <v>67</v>
      </c>
      <c r="B64" s="4"/>
      <c r="C64" s="4"/>
      <c r="D64" s="5" t="n">
        <f aca="false">B64*C64</f>
        <v>0</v>
      </c>
      <c r="E64" s="6"/>
      <c r="F64" s="6"/>
      <c r="G64" s="6"/>
      <c r="H64" s="6"/>
    </row>
    <row r="65" customFormat="false" ht="15" hidden="false" customHeight="false" outlineLevel="0" collapsed="false">
      <c r="A65" s="8" t="s">
        <v>68</v>
      </c>
      <c r="B65" s="4"/>
      <c r="C65" s="4"/>
      <c r="D65" s="5" t="n">
        <f aca="false">B65*C65</f>
        <v>0</v>
      </c>
      <c r="E65" s="6"/>
      <c r="F65" s="6"/>
      <c r="G65" s="6"/>
      <c r="H65" s="6"/>
    </row>
    <row r="66" customFormat="false" ht="15" hidden="false" customHeight="false" outlineLevel="0" collapsed="false">
      <c r="A66" s="8" t="s">
        <v>69</v>
      </c>
      <c r="B66" s="4"/>
      <c r="C66" s="4"/>
      <c r="D66" s="5" t="n">
        <f aca="false">B66*C66</f>
        <v>0</v>
      </c>
      <c r="E66" s="6"/>
      <c r="F66" s="6"/>
      <c r="G66" s="6"/>
      <c r="H66" s="6"/>
    </row>
    <row r="67" customFormat="false" ht="15" hidden="false" customHeight="false" outlineLevel="0" collapsed="false">
      <c r="A67" s="8" t="s">
        <v>70</v>
      </c>
      <c r="B67" s="4" t="n">
        <v>1</v>
      </c>
      <c r="C67" s="4" t="n">
        <f aca="false">31.87+31.87+31.87+31.87+31.87</f>
        <v>159.35</v>
      </c>
      <c r="D67" s="5" t="n">
        <f aca="false">B67*C67</f>
        <v>159.35</v>
      </c>
      <c r="E67" s="6"/>
      <c r="F67" s="6"/>
      <c r="G67" s="6"/>
      <c r="H67" s="6"/>
    </row>
    <row r="68" customFormat="false" ht="15" hidden="false" customHeight="false" outlineLevel="0" collapsed="false">
      <c r="A68" s="8" t="s">
        <v>71</v>
      </c>
      <c r="B68" s="4"/>
      <c r="C68" s="4"/>
      <c r="D68" s="5" t="n">
        <f aca="false">B68*C68</f>
        <v>0</v>
      </c>
      <c r="E68" s="6"/>
      <c r="F68" s="6"/>
      <c r="G68" s="6"/>
      <c r="H68" s="6"/>
    </row>
    <row r="69" customFormat="false" ht="15" hidden="false" customHeight="false" outlineLevel="0" collapsed="false">
      <c r="A69" s="5" t="s">
        <v>104</v>
      </c>
      <c r="B69" s="5" t="n">
        <f aca="false">SUM(B16:B68)</f>
        <v>22</v>
      </c>
      <c r="D69" s="9"/>
      <c r="E69" s="9"/>
      <c r="F69" s="9"/>
      <c r="G69" s="9"/>
      <c r="H69" s="9"/>
      <c r="N69" s="15"/>
    </row>
    <row r="70" customFormat="false" ht="15" hidden="false" customHeight="false" outlineLevel="0" collapsed="false">
      <c r="E70" s="9"/>
      <c r="F70" s="9"/>
      <c r="G70" s="9"/>
      <c r="H70" s="9"/>
      <c r="M70" s="9"/>
      <c r="N70" s="19"/>
      <c r="O70" s="20"/>
      <c r="P70" s="9"/>
      <c r="Q70" s="19"/>
      <c r="R70" s="20"/>
      <c r="S70" s="9"/>
      <c r="T70" s="19"/>
      <c r="U70" s="20"/>
      <c r="V70" s="9"/>
      <c r="W70" s="24"/>
      <c r="X70" s="20"/>
      <c r="Y70" s="9"/>
      <c r="Z70" s="19"/>
      <c r="AA70" s="20"/>
    </row>
    <row r="71" customFormat="false" ht="15" hidden="false" customHeight="false" outlineLevel="0" collapsed="false">
      <c r="A71" s="15" t="s">
        <v>72</v>
      </c>
      <c r="B71" s="10" t="s">
        <v>17</v>
      </c>
      <c r="C71" s="10" t="s">
        <v>73</v>
      </c>
      <c r="D71" s="10" t="s">
        <v>105</v>
      </c>
      <c r="E71" s="10" t="s">
        <v>106</v>
      </c>
      <c r="M71" s="9"/>
      <c r="N71" s="19"/>
      <c r="O71" s="20"/>
      <c r="P71" s="9"/>
      <c r="Q71" s="19"/>
      <c r="R71" s="20"/>
      <c r="S71" s="9"/>
      <c r="T71" s="19"/>
      <c r="U71" s="20"/>
      <c r="V71" s="9"/>
      <c r="W71" s="24"/>
      <c r="X71" s="20"/>
      <c r="Y71" s="9"/>
      <c r="Z71" s="19"/>
      <c r="AA71" s="20"/>
    </row>
    <row r="72" customFormat="false" ht="15" hidden="false" customHeight="false" outlineLevel="0" collapsed="false">
      <c r="A72" s="1" t="s">
        <v>74</v>
      </c>
      <c r="B72" s="11" t="n">
        <v>1</v>
      </c>
      <c r="C72" s="11" t="n">
        <f aca="false">457.85+773.05+850</f>
        <v>2080.9</v>
      </c>
      <c r="D72" s="12"/>
      <c r="E72" s="25" t="n">
        <f aca="false">B72*C72</f>
        <v>2080.9</v>
      </c>
      <c r="M72" s="9"/>
      <c r="N72" s="19"/>
      <c r="O72" s="20"/>
      <c r="P72" s="9"/>
      <c r="Q72" s="19"/>
      <c r="R72" s="20"/>
      <c r="S72" s="9"/>
      <c r="T72" s="19"/>
      <c r="U72" s="20"/>
      <c r="V72" s="9"/>
      <c r="W72" s="24"/>
      <c r="X72" s="20"/>
      <c r="Y72" s="9"/>
      <c r="Z72" s="19"/>
      <c r="AA72" s="20"/>
      <c r="AB72" s="9"/>
    </row>
    <row r="73" customFormat="false" ht="15" hidden="false" customHeight="false" outlineLevel="0" collapsed="false">
      <c r="A73" s="1" t="s">
        <v>75</v>
      </c>
      <c r="B73" s="11" t="n">
        <v>1</v>
      </c>
      <c r="C73" s="11" t="n">
        <f aca="false">968+1818+640.05+640.05</f>
        <v>4066.1</v>
      </c>
      <c r="D73" s="12"/>
      <c r="E73" s="25" t="n">
        <f aca="false">B73*C73</f>
        <v>4066.1</v>
      </c>
      <c r="M73" s="9"/>
      <c r="N73" s="19"/>
      <c r="O73" s="20"/>
      <c r="P73" s="9"/>
      <c r="Q73" s="19"/>
      <c r="R73" s="20"/>
      <c r="S73" s="9"/>
      <c r="T73" s="19"/>
      <c r="U73" s="20"/>
      <c r="V73" s="9"/>
      <c r="W73" s="24"/>
      <c r="X73" s="20"/>
      <c r="Y73" s="9"/>
      <c r="Z73" s="19"/>
      <c r="AA73" s="20"/>
    </row>
    <row r="74" customFormat="false" ht="15" hidden="false" customHeight="false" outlineLevel="0" collapsed="false">
      <c r="A74" s="1" t="s">
        <v>107</v>
      </c>
      <c r="B74" s="11" t="n">
        <v>1</v>
      </c>
      <c r="C74" s="11" t="n">
        <v>10</v>
      </c>
      <c r="D74" s="12"/>
      <c r="E74" s="25" t="n">
        <f aca="false">B74*C74</f>
        <v>10</v>
      </c>
      <c r="M74" s="9"/>
      <c r="N74" s="19"/>
      <c r="O74" s="20"/>
      <c r="P74" s="9"/>
      <c r="Q74" s="19"/>
      <c r="R74" s="20"/>
      <c r="S74" s="9"/>
      <c r="T74" s="19"/>
      <c r="U74" s="20"/>
      <c r="V74" s="9"/>
      <c r="W74" s="24"/>
      <c r="X74" s="20"/>
      <c r="Y74" s="9"/>
      <c r="Z74" s="19"/>
      <c r="AA74" s="20"/>
    </row>
    <row r="75" customFormat="false" ht="15" hidden="false" customHeight="false" outlineLevel="0" collapsed="false">
      <c r="A75" s="1" t="s">
        <v>108</v>
      </c>
      <c r="B75" s="11" t="n">
        <v>1</v>
      </c>
      <c r="C75" s="11" t="n">
        <v>99.2</v>
      </c>
      <c r="D75" s="12"/>
      <c r="E75" s="25" t="n">
        <f aca="false">B75*C75</f>
        <v>99.2</v>
      </c>
      <c r="M75" s="9"/>
      <c r="N75" s="19"/>
      <c r="O75" s="20"/>
      <c r="P75" s="9"/>
      <c r="Q75" s="19"/>
      <c r="R75" s="20"/>
      <c r="S75" s="9"/>
      <c r="T75" s="19"/>
      <c r="U75" s="20"/>
      <c r="V75" s="9"/>
      <c r="W75" s="24"/>
      <c r="X75" s="20"/>
      <c r="Y75" s="9"/>
      <c r="Z75" s="19"/>
      <c r="AA75" s="20"/>
    </row>
    <row r="76" customFormat="false" ht="15" hidden="false" customHeight="false" outlineLevel="0" collapsed="false">
      <c r="A76" s="1" t="s">
        <v>109</v>
      </c>
      <c r="B76" s="11" t="n">
        <v>1</v>
      </c>
      <c r="C76" s="11" t="n">
        <v>11</v>
      </c>
      <c r="D76" s="12"/>
      <c r="E76" s="25" t="n">
        <f aca="false">B76*C76</f>
        <v>11</v>
      </c>
      <c r="M76" s="9"/>
      <c r="N76" s="26"/>
      <c r="O76" s="20"/>
      <c r="P76" s="9"/>
      <c r="Q76" s="19"/>
      <c r="R76" s="20"/>
      <c r="S76" s="9"/>
      <c r="T76" s="19"/>
      <c r="U76" s="20"/>
      <c r="V76" s="9"/>
      <c r="W76" s="19"/>
      <c r="X76" s="20"/>
      <c r="Y76" s="9"/>
      <c r="Z76" s="19"/>
      <c r="AA76" s="20"/>
      <c r="AB76" s="19"/>
    </row>
    <row r="77" customFormat="false" ht="15" hidden="false" customHeight="false" outlineLevel="0" collapsed="false">
      <c r="A77" s="1" t="s">
        <v>79</v>
      </c>
      <c r="B77" s="11" t="n">
        <v>3</v>
      </c>
      <c r="C77" s="12"/>
      <c r="D77" s="12"/>
      <c r="E77" s="25" t="n">
        <f aca="false">B77</f>
        <v>3</v>
      </c>
      <c r="M77" s="9"/>
      <c r="N77" s="24"/>
      <c r="O77" s="20"/>
      <c r="P77" s="9"/>
      <c r="Q77" s="19"/>
      <c r="R77" s="20"/>
      <c r="S77" s="9"/>
      <c r="T77" s="24"/>
      <c r="U77" s="20"/>
      <c r="V77" s="9"/>
      <c r="W77" s="24"/>
      <c r="X77" s="20"/>
      <c r="Y77" s="9"/>
      <c r="Z77" s="24"/>
      <c r="AA77" s="20"/>
      <c r="AB77" s="19"/>
    </row>
    <row r="78" customFormat="false" ht="15" hidden="false" customHeight="false" outlineLevel="0" collapsed="false">
      <c r="A78" s="1" t="s">
        <v>80</v>
      </c>
      <c r="B78" s="11" t="n">
        <v>1</v>
      </c>
      <c r="C78" s="11" t="n">
        <f aca="false">13.21+11.95+36.9+44.75+84.5+4+224.95+4+57.45</f>
        <v>481.71</v>
      </c>
      <c r="D78" s="12"/>
      <c r="E78" s="25" t="n">
        <f aca="false">B78*C78</f>
        <v>481.71</v>
      </c>
    </row>
    <row r="79" customFormat="false" ht="15" hidden="false" customHeight="false" outlineLevel="0" collapsed="false">
      <c r="A79" s="1" t="s">
        <v>81</v>
      </c>
      <c r="B79" s="11" t="n">
        <v>1</v>
      </c>
      <c r="C79" s="11" t="n">
        <v>10</v>
      </c>
      <c r="D79" s="12"/>
      <c r="E79" s="25" t="n">
        <f aca="false">B79*C79</f>
        <v>10</v>
      </c>
    </row>
    <row r="80" customFormat="false" ht="15" hidden="false" customHeight="false" outlineLevel="0" collapsed="false">
      <c r="A80" s="1" t="s">
        <v>82</v>
      </c>
      <c r="B80" s="11" t="n">
        <v>1</v>
      </c>
      <c r="C80" s="11" t="n">
        <v>10</v>
      </c>
      <c r="D80" s="12"/>
      <c r="E80" s="25" t="n">
        <f aca="false">B80*C80</f>
        <v>10</v>
      </c>
      <c r="N80" s="15"/>
    </row>
    <row r="81" customFormat="false" ht="15" hidden="false" customHeight="false" outlineLevel="0" collapsed="false">
      <c r="A81" s="1" t="s">
        <v>83</v>
      </c>
      <c r="B81" s="11" t="n">
        <v>1</v>
      </c>
      <c r="C81" s="12"/>
      <c r="D81" s="12"/>
      <c r="E81" s="25" t="n">
        <f aca="false">B81</f>
        <v>1</v>
      </c>
      <c r="M81" s="9"/>
      <c r="N81" s="24"/>
      <c r="O81" s="20"/>
      <c r="P81" s="9"/>
      <c r="Q81" s="19"/>
      <c r="R81" s="20"/>
      <c r="S81" s="9"/>
      <c r="T81" s="24"/>
      <c r="U81" s="20"/>
      <c r="V81" s="9"/>
      <c r="W81" s="24"/>
      <c r="X81" s="20"/>
      <c r="Y81" s="9"/>
      <c r="Z81" s="19"/>
      <c r="AA81" s="20"/>
      <c r="AE81" s="19"/>
    </row>
    <row r="82" customFormat="false" ht="15" hidden="false" customHeight="false" outlineLevel="0" collapsed="false">
      <c r="A82" s="1" t="s">
        <v>110</v>
      </c>
      <c r="B82" s="11" t="n">
        <v>1</v>
      </c>
      <c r="C82" s="12"/>
      <c r="D82" s="11" t="n">
        <v>10</v>
      </c>
      <c r="E82" s="1" t="n">
        <f aca="false">B82*D82</f>
        <v>10</v>
      </c>
      <c r="M82" s="9"/>
      <c r="N82" s="24"/>
      <c r="O82" s="20"/>
      <c r="P82" s="9"/>
      <c r="Q82" s="19"/>
      <c r="R82" s="20"/>
      <c r="S82" s="9"/>
      <c r="T82" s="24"/>
      <c r="U82" s="20"/>
      <c r="V82" s="9"/>
      <c r="W82" s="24"/>
      <c r="X82" s="20"/>
      <c r="Y82" s="9"/>
      <c r="Z82" s="19"/>
      <c r="AA82" s="20"/>
      <c r="AE82" s="19"/>
    </row>
    <row r="83" customFormat="false" ht="15" hidden="false" customHeight="false" outlineLevel="0" collapsed="false">
      <c r="A83" s="1" t="s">
        <v>111</v>
      </c>
      <c r="B83" s="11" t="n">
        <v>1</v>
      </c>
      <c r="C83" s="12"/>
      <c r="D83" s="12" t="s">
        <v>112</v>
      </c>
      <c r="E83" s="25" t="n">
        <f aca="false">B83</f>
        <v>1</v>
      </c>
      <c r="M83" s="9"/>
      <c r="N83" s="24"/>
      <c r="O83" s="20"/>
      <c r="P83" s="9"/>
      <c r="Q83" s="19"/>
      <c r="R83" s="20"/>
      <c r="S83" s="9"/>
      <c r="T83" s="24"/>
      <c r="U83" s="20"/>
      <c r="V83" s="9"/>
      <c r="W83" s="24"/>
      <c r="X83" s="20"/>
      <c r="Y83" s="9"/>
      <c r="Z83" s="19"/>
      <c r="AA83" s="20"/>
      <c r="AB83" s="9"/>
      <c r="AE83" s="19"/>
    </row>
    <row r="84" customFormat="false" ht="15" hidden="false" customHeight="false" outlineLevel="0" collapsed="false">
      <c r="B84" s="11"/>
      <c r="C84" s="11" t="n">
        <v>0</v>
      </c>
      <c r="M84" s="9"/>
      <c r="N84" s="24"/>
      <c r="O84" s="20"/>
      <c r="P84" s="9"/>
      <c r="Q84" s="19"/>
      <c r="R84" s="20"/>
      <c r="S84" s="9"/>
      <c r="T84" s="24"/>
      <c r="U84" s="20"/>
      <c r="V84" s="9"/>
      <c r="W84" s="24"/>
      <c r="X84" s="20"/>
      <c r="Y84" s="9"/>
      <c r="Z84" s="19"/>
      <c r="AA84" s="20"/>
      <c r="AE84" s="19"/>
    </row>
    <row r="85" customFormat="false" ht="15" hidden="false" customHeight="false" outlineLevel="0" collapsed="false">
      <c r="A85" s="15" t="s">
        <v>113</v>
      </c>
      <c r="B85" s="27" t="s">
        <v>17</v>
      </c>
      <c r="C85" s="27" t="s">
        <v>92</v>
      </c>
      <c r="D85" s="28"/>
      <c r="E85" s="28"/>
      <c r="M85" s="9"/>
      <c r="N85" s="24"/>
      <c r="O85" s="20"/>
      <c r="P85" s="9"/>
      <c r="Q85" s="19"/>
      <c r="R85" s="20"/>
      <c r="S85" s="9"/>
      <c r="T85" s="24"/>
      <c r="U85" s="20"/>
      <c r="V85" s="9"/>
      <c r="W85" s="24"/>
      <c r="X85" s="20"/>
      <c r="Y85" s="9"/>
      <c r="Z85" s="19"/>
      <c r="AA85" s="20"/>
      <c r="AE85" s="19"/>
    </row>
    <row r="86" customFormat="false" ht="15" hidden="false" customHeight="false" outlineLevel="0" collapsed="false">
      <c r="A86" s="1" t="s">
        <v>114</v>
      </c>
      <c r="B86" s="12" t="n">
        <v>1</v>
      </c>
      <c r="C86" s="29" t="n">
        <f aca="false">'Obras exteriores '!E72</f>
        <v>35681.59242</v>
      </c>
      <c r="D86" s="28"/>
      <c r="E86" s="28"/>
      <c r="M86" s="9"/>
      <c r="N86" s="24"/>
      <c r="O86" s="20"/>
      <c r="P86" s="9"/>
      <c r="Q86" s="19"/>
      <c r="R86" s="20"/>
      <c r="S86" s="9"/>
      <c r="T86" s="24"/>
      <c r="U86" s="20"/>
      <c r="V86" s="9"/>
      <c r="W86" s="24"/>
      <c r="X86" s="20"/>
      <c r="Y86" s="9"/>
      <c r="Z86" s="19"/>
      <c r="AA86" s="20"/>
      <c r="AE86" s="19"/>
    </row>
    <row r="87" customFormat="false" ht="15" hidden="false" customHeight="false" outlineLevel="0" collapsed="false">
      <c r="A87" s="1" t="s">
        <v>115</v>
      </c>
      <c r="B87" s="12" t="n">
        <v>1</v>
      </c>
      <c r="C87" s="29" t="n">
        <f aca="false">'Obras exteriores '!E73</f>
        <v>14616.94</v>
      </c>
      <c r="D87" s="28"/>
      <c r="E87" s="28"/>
      <c r="G87" s="28"/>
      <c r="H87" s="28"/>
      <c r="M87" s="9"/>
      <c r="N87" s="26"/>
      <c r="O87" s="20"/>
      <c r="P87" s="9"/>
      <c r="Q87" s="19"/>
      <c r="R87" s="20"/>
      <c r="S87" s="9"/>
      <c r="T87" s="26"/>
      <c r="U87" s="20"/>
      <c r="V87" s="9"/>
      <c r="W87" s="19"/>
      <c r="X87" s="20"/>
      <c r="Y87" s="9"/>
      <c r="Z87" s="19"/>
      <c r="AA87" s="20"/>
      <c r="AB87" s="19"/>
    </row>
    <row r="88" customFormat="false" ht="15" hidden="false" customHeight="false" outlineLevel="0" collapsed="false">
      <c r="A88" s="1" t="s">
        <v>116</v>
      </c>
      <c r="B88" s="12" t="n">
        <v>1</v>
      </c>
      <c r="C88" s="29" t="n">
        <f aca="false">'Obras exteriores '!E74</f>
        <v>76109.66</v>
      </c>
      <c r="D88" s="28"/>
      <c r="E88" s="28"/>
      <c r="M88" s="9"/>
      <c r="N88" s="24"/>
      <c r="O88" s="20"/>
      <c r="P88" s="9"/>
      <c r="Q88" s="19"/>
      <c r="R88" s="20"/>
      <c r="S88" s="9"/>
      <c r="T88" s="24"/>
      <c r="U88" s="20"/>
      <c r="V88" s="9"/>
      <c r="W88" s="24"/>
      <c r="X88" s="20"/>
      <c r="Y88" s="9"/>
      <c r="Z88" s="24"/>
      <c r="AA88" s="20"/>
      <c r="AB88" s="19"/>
    </row>
    <row r="89" customFormat="false" ht="15" hidden="false" customHeight="false" outlineLevel="0" collapsed="false">
      <c r="A89" s="28"/>
      <c r="B89" s="28"/>
      <c r="C89" s="28"/>
      <c r="D89" s="28"/>
      <c r="E89" s="28"/>
      <c r="M89" s="9"/>
    </row>
    <row r="90" customFormat="false" ht="15" hidden="false" customHeight="false" outlineLevel="0" collapsed="false">
      <c r="AA90" s="19"/>
    </row>
    <row r="91" customFormat="false" ht="15" hidden="false" customHeight="false" outlineLevel="0" collapsed="false">
      <c r="B91" s="12" t="s">
        <v>87</v>
      </c>
      <c r="C91" s="30" t="n">
        <f aca="false">IF(E3="SI",SUM('Obras provisionales'!J9:J28)+SUM('Obras provisionales'!J33:J111),SUM('Obras provisionales'!J9:J28)+SUM('Obras provisionales'!J33:J71))</f>
        <v>256219.136512878</v>
      </c>
      <c r="D91" s="31" t="n">
        <f aca="false">C91+0.25%*D98</f>
        <v>277324.136259838</v>
      </c>
      <c r="E91" s="12" t="s">
        <v>117</v>
      </c>
      <c r="F91" s="31" t="n">
        <f aca="false">SUM(D91:D97)</f>
        <v>8441999.89878402</v>
      </c>
      <c r="Q91" s="19"/>
      <c r="W91" s="24"/>
      <c r="AA91" s="19"/>
    </row>
    <row r="92" customFormat="false" ht="15" hidden="false" customHeight="false" outlineLevel="0" collapsed="false">
      <c r="B92" s="12" t="s">
        <v>118</v>
      </c>
      <c r="C92" s="31" t="n">
        <f aca="false">ESTRUCTURA!K2</f>
        <v>5013492.40414029</v>
      </c>
      <c r="D92" s="31" t="n">
        <f aca="false">C92</f>
        <v>5013492.40414029</v>
      </c>
      <c r="E92" s="12"/>
      <c r="F92" s="12"/>
      <c r="Q92" s="19"/>
      <c r="W92" s="24"/>
      <c r="AA92" s="19"/>
    </row>
    <row r="93" customFormat="false" ht="15" hidden="false" customHeight="false" outlineLevel="0" collapsed="false">
      <c r="B93" s="12" t="s">
        <v>119</v>
      </c>
      <c r="C93" s="31" t="n">
        <f aca="false">ARQUITECTURA!K2</f>
        <v>1971322.45634844</v>
      </c>
      <c r="D93" s="31" t="n">
        <f aca="false">C93</f>
        <v>1971322.45634844</v>
      </c>
      <c r="E93" s="12"/>
      <c r="F93" s="12"/>
      <c r="L93" s="14"/>
      <c r="M93" s="20"/>
      <c r="Q93" s="19"/>
      <c r="W93" s="24"/>
      <c r="AA93" s="19"/>
    </row>
    <row r="94" customFormat="false" ht="15" hidden="false" customHeight="false" outlineLevel="0" collapsed="false">
      <c r="B94" s="12" t="s">
        <v>120</v>
      </c>
      <c r="C94" s="31" t="n">
        <f aca="false">SANITARIAS!K2</f>
        <v>717465.948140784</v>
      </c>
      <c r="D94" s="31" t="n">
        <f aca="false">C94</f>
        <v>717465.948140784</v>
      </c>
      <c r="E94" s="12"/>
      <c r="F94" s="12"/>
      <c r="L94" s="14"/>
      <c r="M94" s="20"/>
      <c r="Q94" s="19"/>
      <c r="W94" s="24"/>
      <c r="AA94" s="19"/>
    </row>
    <row r="95" customFormat="false" ht="15" hidden="false" customHeight="false" outlineLevel="0" collapsed="false">
      <c r="B95" s="12" t="s">
        <v>121</v>
      </c>
      <c r="C95" s="31" t="n">
        <f aca="false">ELECTRICAS!K2</f>
        <v>354578.321768</v>
      </c>
      <c r="D95" s="31" t="n">
        <f aca="false">C95</f>
        <v>354578.321768</v>
      </c>
      <c r="E95" s="12"/>
      <c r="F95" s="12"/>
      <c r="L95" s="14"/>
      <c r="M95" s="20"/>
      <c r="Q95" s="19"/>
      <c r="W95" s="24"/>
      <c r="AA95" s="19"/>
    </row>
    <row r="96" customFormat="false" ht="15" hidden="false" customHeight="false" outlineLevel="0" collapsed="false">
      <c r="B96" s="12" t="s">
        <v>122</v>
      </c>
      <c r="C96" s="31" t="n">
        <f aca="false">COMUNICACIONES!K2</f>
        <v>107816.632126667</v>
      </c>
      <c r="D96" s="31" t="n">
        <f aca="false">C96</f>
        <v>107816.632126667</v>
      </c>
      <c r="E96" s="12"/>
      <c r="F96" s="12"/>
      <c r="L96" s="14"/>
      <c r="M96" s="20"/>
      <c r="Q96" s="19"/>
      <c r="W96" s="24"/>
      <c r="AB96" s="19"/>
    </row>
    <row r="97" customFormat="false" ht="15" hidden="false" customHeight="false" outlineLevel="0" collapsed="false">
      <c r="B97" s="12" t="s">
        <v>72</v>
      </c>
      <c r="C97" s="31"/>
      <c r="D97" s="32"/>
      <c r="E97" s="12"/>
      <c r="F97" s="12"/>
      <c r="L97" s="14"/>
      <c r="M97" s="20"/>
      <c r="Q97" s="9"/>
    </row>
    <row r="98" customFormat="false" ht="15" hidden="false" customHeight="false" outlineLevel="0" collapsed="false">
      <c r="B98" s="12"/>
      <c r="C98" s="31" t="n">
        <f aca="false">SUM(C91:C97)</f>
        <v>8420894.89903706</v>
      </c>
      <c r="D98" s="31" t="n">
        <f aca="false">C98+(C98*0.0025/0.9975)</f>
        <v>8441999.89878402</v>
      </c>
      <c r="E98" s="12"/>
      <c r="F98" s="12"/>
      <c r="L98" s="14"/>
      <c r="M98" s="20"/>
    </row>
    <row r="99" customFormat="false" ht="15" hidden="false" customHeight="false" outlineLevel="0" collapsed="false">
      <c r="AE99" s="6"/>
      <c r="AF99" s="6"/>
      <c r="AG99" s="6"/>
    </row>
    <row r="100" customFormat="false" ht="15" hidden="false" customHeight="false" outlineLevel="0" collapsed="false">
      <c r="N100" s="33"/>
      <c r="O100" s="33"/>
      <c r="P100" s="33"/>
      <c r="Q100" s="33"/>
      <c r="R100" s="33"/>
      <c r="AE100" s="6"/>
      <c r="AF100" s="6"/>
      <c r="AG100" s="6"/>
    </row>
    <row r="101" customFormat="false" ht="15" hidden="false" customHeight="false" outlineLevel="0" collapsed="false">
      <c r="D101" s="9"/>
      <c r="L101" s="34"/>
      <c r="M101" s="6"/>
      <c r="N101" s="6"/>
      <c r="O101" s="6"/>
      <c r="P101" s="6"/>
      <c r="Q101" s="6"/>
      <c r="R101" s="6"/>
      <c r="S101" s="6"/>
      <c r="AF101" s="6"/>
      <c r="AG101" s="6"/>
    </row>
    <row r="102" customFormat="false" ht="15" hidden="false" customHeight="false" outlineLevel="0" collapsed="false">
      <c r="L102" s="34"/>
      <c r="M102" s="6"/>
      <c r="N102" s="6"/>
      <c r="O102" s="6"/>
      <c r="P102" s="6"/>
      <c r="Q102" s="6"/>
      <c r="R102" s="6"/>
      <c r="S102" s="6"/>
      <c r="AF102" s="6"/>
      <c r="AG102" s="6"/>
    </row>
    <row r="103" customFormat="false" ht="15" hidden="false" customHeight="false" outlineLevel="0" collapsed="false">
      <c r="L103" s="34"/>
      <c r="M103" s="6"/>
      <c r="N103" s="6"/>
      <c r="O103" s="6"/>
      <c r="P103" s="6"/>
      <c r="Q103" s="6"/>
      <c r="R103" s="6"/>
      <c r="S103" s="6"/>
      <c r="AF103" s="6"/>
      <c r="AG103" s="6"/>
    </row>
    <row r="104" customFormat="false" ht="15" hidden="false" customHeight="false" outlineLevel="0" collapsed="false">
      <c r="L104" s="34"/>
      <c r="M104" s="6"/>
      <c r="N104" s="6"/>
      <c r="O104" s="6"/>
      <c r="P104" s="6"/>
      <c r="Q104" s="6"/>
      <c r="R104" s="6"/>
      <c r="S104" s="6"/>
      <c r="AF104" s="6"/>
      <c r="AG104" s="6"/>
    </row>
    <row r="105" customFormat="false" ht="15" hidden="false" customHeight="false" outlineLevel="0" collapsed="false">
      <c r="L105" s="34"/>
      <c r="M105" s="6"/>
      <c r="N105" s="6"/>
      <c r="O105" s="6"/>
      <c r="P105" s="6"/>
      <c r="Q105" s="6"/>
      <c r="R105" s="6"/>
      <c r="S105" s="6"/>
      <c r="AF105" s="6"/>
      <c r="AG105" s="6"/>
    </row>
    <row r="106" customFormat="false" ht="15" hidden="false" customHeight="false" outlineLevel="0" collapsed="false">
      <c r="L106" s="34"/>
      <c r="N106" s="6"/>
      <c r="O106" s="6"/>
      <c r="P106" s="6"/>
      <c r="Q106" s="6"/>
      <c r="R106" s="6"/>
      <c r="S106" s="6"/>
      <c r="AF106" s="6"/>
      <c r="AG106" s="6"/>
    </row>
    <row r="107" customFormat="false" ht="15" hidden="false" customHeight="false" outlineLevel="0" collapsed="false">
      <c r="L107" s="34"/>
      <c r="N107" s="6"/>
      <c r="O107" s="6"/>
      <c r="P107" s="6"/>
      <c r="Q107" s="6"/>
      <c r="R107" s="6"/>
      <c r="AF107" s="6"/>
      <c r="AG107" s="6"/>
    </row>
    <row r="108" customFormat="false" ht="15" hidden="false" customHeight="false" outlineLevel="0" collapsed="false">
      <c r="L108" s="34"/>
      <c r="N108" s="6"/>
      <c r="O108" s="6"/>
      <c r="P108" s="6"/>
      <c r="Q108" s="6"/>
      <c r="R108" s="6"/>
      <c r="S108" s="6"/>
      <c r="AF108" s="6"/>
      <c r="AG108" s="6"/>
    </row>
    <row r="109" customFormat="false" ht="15" hidden="false" customHeight="false" outlineLevel="0" collapsed="false">
      <c r="L109" s="34"/>
      <c r="N109" s="6"/>
      <c r="O109" s="6"/>
      <c r="P109" s="6"/>
      <c r="Q109" s="6"/>
      <c r="R109" s="6"/>
      <c r="AF109" s="6"/>
      <c r="AG109" s="6"/>
    </row>
    <row r="110" customFormat="false" ht="15" hidden="false" customHeight="false" outlineLevel="0" collapsed="false">
      <c r="L110" s="35"/>
      <c r="P110" s="9"/>
    </row>
  </sheetData>
  <mergeCells count="2">
    <mergeCell ref="L101:L105"/>
    <mergeCell ref="L106:L109"/>
  </mergeCells>
  <dataValidations count="2">
    <dataValidation allowBlank="true" errorStyle="stop" operator="between" showDropDown="false" showErrorMessage="true" showInputMessage="true" sqref="E3 D11" type="list">
      <formula1>"SI,NO"</formula1>
      <formula2>0</formula2>
    </dataValidation>
    <dataValidation allowBlank="true" errorStyle="stop" operator="between" showDropDown="false" showErrorMessage="true" showInputMessage="true" sqref="D5:D8" type="list">
      <formula1>"zapatas y vigas de cimentación,platea de cimentación"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2:K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" activeCellId="0" sqref="G1"/>
    </sheetView>
  </sheetViews>
  <sheetFormatPr defaultColWidth="8.59765625" defaultRowHeight="15" zeroHeight="false" outlineLevelRow="0" outlineLevelCol="0"/>
  <cols>
    <col collapsed="false" customWidth="true" hidden="false" outlineLevel="0" max="10" min="10" style="1" width="11.57"/>
    <col collapsed="false" customWidth="true" hidden="false" outlineLevel="0" max="11" min="11" style="1" width="12.29"/>
    <col collapsed="false" customWidth="true" hidden="false" outlineLevel="0" max="13" min="13" style="1" width="13.3"/>
    <col collapsed="false" customWidth="true" hidden="false" outlineLevel="0" max="16384" min="16384" style="1" width="10.16"/>
  </cols>
  <sheetData>
    <row r="2" customFormat="false" ht="15" hidden="false" customHeight="false" outlineLevel="0" collapsed="false">
      <c r="B2" s="15"/>
      <c r="G2" s="36" t="s">
        <v>123</v>
      </c>
      <c r="H2" s="36" t="s">
        <v>124</v>
      </c>
      <c r="I2" s="36" t="s">
        <v>125</v>
      </c>
      <c r="J2" s="36" t="s">
        <v>126</v>
      </c>
      <c r="K2" s="36" t="s">
        <v>127</v>
      </c>
    </row>
    <row r="3" customFormat="false" ht="15" hidden="false" customHeight="false" outlineLevel="0" collapsed="false">
      <c r="A3" s="1" t="n">
        <v>1</v>
      </c>
      <c r="B3" s="37" t="s">
        <v>128</v>
      </c>
      <c r="C3" s="15"/>
      <c r="D3" s="15"/>
      <c r="E3" s="15"/>
      <c r="F3" s="15"/>
      <c r="K3" s="38" t="n">
        <f aca="false">J4+J19+J29+J38+J66</f>
        <v>277324.136259838</v>
      </c>
    </row>
    <row r="4" customFormat="false" ht="15" hidden="false" customHeight="false" outlineLevel="0" collapsed="false">
      <c r="A4" s="1" t="n">
        <v>1.1</v>
      </c>
      <c r="B4" s="13" t="s">
        <v>129</v>
      </c>
      <c r="C4" s="39"/>
      <c r="J4" s="40" t="n">
        <f aca="false">J5+J14</f>
        <v>49421.7740648291</v>
      </c>
    </row>
    <row r="5" customFormat="false" ht="15" hidden="false" customHeight="false" outlineLevel="0" collapsed="false">
      <c r="A5" s="1" t="s">
        <v>130</v>
      </c>
      <c r="B5" s="41" t="s">
        <v>131</v>
      </c>
      <c r="C5" s="42"/>
      <c r="J5" s="43" t="n">
        <f aca="false">SUM(J6:J13)</f>
        <v>43732.4140648291</v>
      </c>
    </row>
    <row r="6" customFormat="false" ht="15" hidden="false" customHeight="false" outlineLevel="0" collapsed="false">
      <c r="A6" s="1" t="s">
        <v>132</v>
      </c>
      <c r="B6" s="1" t="s">
        <v>133</v>
      </c>
      <c r="G6" s="6" t="s">
        <v>134</v>
      </c>
      <c r="H6" s="9" t="n">
        <f aca="false">'Obras provisionales'!H9</f>
        <v>50</v>
      </c>
      <c r="I6" s="28" t="n">
        <f aca="false">'APU PROVISIONALES'!J3</f>
        <v>158.90001</v>
      </c>
      <c r="J6" s="28" t="n">
        <f aca="false">H6*I6</f>
        <v>7945.0005</v>
      </c>
    </row>
    <row r="7" customFormat="false" ht="15" hidden="false" customHeight="false" outlineLevel="0" collapsed="false">
      <c r="A7" s="1" t="s">
        <v>135</v>
      </c>
      <c r="B7" s="1" t="s">
        <v>136</v>
      </c>
      <c r="G7" s="6" t="s">
        <v>134</v>
      </c>
      <c r="H7" s="9" t="n">
        <f aca="false">'Obras provisionales'!H10</f>
        <v>35</v>
      </c>
      <c r="I7" s="28" t="n">
        <f aca="false">'APU PROVISIONALES'!J28</f>
        <v>144.64563</v>
      </c>
      <c r="J7" s="28" t="n">
        <f aca="false">H7*I7</f>
        <v>5062.59705</v>
      </c>
    </row>
    <row r="8" customFormat="false" ht="15" hidden="false" customHeight="false" outlineLevel="0" collapsed="false">
      <c r="A8" s="1" t="s">
        <v>137</v>
      </c>
      <c r="B8" s="1" t="s">
        <v>138</v>
      </c>
      <c r="G8" s="6" t="s">
        <v>134</v>
      </c>
      <c r="H8" s="9" t="n">
        <f aca="false">'Obras provisionales'!H11</f>
        <v>8</v>
      </c>
      <c r="I8" s="28" t="n">
        <f aca="false">'APU PROVISIONALES'!J52</f>
        <v>148.03953</v>
      </c>
      <c r="J8" s="28" t="n">
        <f aca="false">H8*I8</f>
        <v>1184.31624</v>
      </c>
    </row>
    <row r="9" customFormat="false" ht="15" hidden="false" customHeight="false" outlineLevel="0" collapsed="false">
      <c r="A9" s="1" t="s">
        <v>139</v>
      </c>
      <c r="B9" s="1" t="s">
        <v>140</v>
      </c>
      <c r="G9" s="6" t="s">
        <v>134</v>
      </c>
      <c r="H9" s="9" t="n">
        <f aca="false">'Obras provisionales'!H12</f>
        <v>50</v>
      </c>
      <c r="I9" s="28" t="n">
        <f aca="false">'APU PROVISIONALES'!J76</f>
        <v>152.56473</v>
      </c>
      <c r="J9" s="28" t="n">
        <f aca="false">H9*I9</f>
        <v>7628.2365</v>
      </c>
    </row>
    <row r="10" customFormat="false" ht="15" hidden="false" customHeight="false" outlineLevel="0" collapsed="false">
      <c r="A10" s="1" t="s">
        <v>141</v>
      </c>
      <c r="B10" s="1" t="s">
        <v>142</v>
      </c>
      <c r="G10" s="6" t="s">
        <v>134</v>
      </c>
      <c r="H10" s="9" t="n">
        <f aca="false">'Obras provisionales'!H13</f>
        <v>25</v>
      </c>
      <c r="I10" s="28" t="n">
        <f aca="false">'APU PROVISIONALES'!J100</f>
        <v>206.192765</v>
      </c>
      <c r="J10" s="28" t="n">
        <f aca="false">H10*I10</f>
        <v>5154.819125</v>
      </c>
    </row>
    <row r="11" customFormat="false" ht="15" hidden="false" customHeight="false" outlineLevel="0" collapsed="false">
      <c r="A11" s="1" t="s">
        <v>143</v>
      </c>
      <c r="B11" s="1" t="s">
        <v>144</v>
      </c>
      <c r="G11" s="6" t="s">
        <v>145</v>
      </c>
      <c r="H11" s="9" t="n">
        <f aca="false">'Obras provisionales'!H14</f>
        <v>189.684369414035</v>
      </c>
      <c r="I11" s="28" t="n">
        <f aca="false">'APU PROVISIONALES'!J124</f>
        <v>44.0695466666667</v>
      </c>
      <c r="J11" s="28" t="n">
        <f aca="false">H11*I11</f>
        <v>8359.30416982905</v>
      </c>
    </row>
    <row r="12" customFormat="false" ht="15" hidden="false" customHeight="false" outlineLevel="0" collapsed="false">
      <c r="A12" s="1" t="s">
        <v>146</v>
      </c>
      <c r="B12" s="1" t="s">
        <v>147</v>
      </c>
      <c r="G12" s="6" t="s">
        <v>134</v>
      </c>
      <c r="H12" s="9" t="n">
        <f aca="false">'Obras provisionales'!H15</f>
        <v>16</v>
      </c>
      <c r="I12" s="28" t="n">
        <f aca="false">'APU PROVISIONALES'!J140</f>
        <v>343.16159</v>
      </c>
      <c r="J12" s="28" t="n">
        <f aca="false">H12*I12</f>
        <v>5490.58544</v>
      </c>
    </row>
    <row r="13" customFormat="false" ht="15" hidden="false" customHeight="false" outlineLevel="0" collapsed="false">
      <c r="A13" s="1" t="s">
        <v>148</v>
      </c>
      <c r="B13" s="1" t="s">
        <v>149</v>
      </c>
      <c r="G13" s="6" t="s">
        <v>150</v>
      </c>
      <c r="H13" s="9" t="n">
        <f aca="false">'Obras provisionales'!H16</f>
        <v>2</v>
      </c>
      <c r="I13" s="28" t="n">
        <f aca="false">'APU PROVISIONALES'!J169</f>
        <v>1453.77752</v>
      </c>
      <c r="J13" s="28" t="n">
        <f aca="false">H13*I13</f>
        <v>2907.55504</v>
      </c>
    </row>
    <row r="14" customFormat="false" ht="15" hidden="false" customHeight="false" outlineLevel="0" collapsed="false">
      <c r="A14" s="1" t="s">
        <v>151</v>
      </c>
      <c r="B14" s="41" t="s">
        <v>152</v>
      </c>
      <c r="G14" s="44"/>
      <c r="H14" s="9"/>
      <c r="I14" s="28"/>
      <c r="J14" s="43" t="n">
        <f aca="false">SUM(J15:J18)</f>
        <v>5689.36</v>
      </c>
    </row>
    <row r="15" customFormat="false" ht="15" hidden="false" customHeight="false" outlineLevel="0" collapsed="false">
      <c r="A15" s="1" t="s">
        <v>153</v>
      </c>
      <c r="B15" s="1" t="s">
        <v>154</v>
      </c>
      <c r="G15" s="6" t="s">
        <v>155</v>
      </c>
      <c r="H15" s="9" t="n">
        <f aca="false">'Obras provisionales'!H18</f>
        <v>1</v>
      </c>
      <c r="I15" s="28" t="n">
        <f aca="false">'APU PROVISIONALES'!J192</f>
        <v>251.61</v>
      </c>
      <c r="J15" s="28" t="n">
        <f aca="false">H15*I15</f>
        <v>251.61</v>
      </c>
    </row>
    <row r="16" customFormat="false" ht="15" hidden="false" customHeight="false" outlineLevel="0" collapsed="false">
      <c r="A16" s="1" t="s">
        <v>156</v>
      </c>
      <c r="B16" s="1" t="s">
        <v>157</v>
      </c>
      <c r="G16" s="6" t="s">
        <v>158</v>
      </c>
      <c r="H16" s="9" t="n">
        <f aca="false">'Obras provisionales'!H19</f>
        <v>12</v>
      </c>
      <c r="I16" s="28" t="n">
        <f aca="false">'APU PROVISIONALES'!J199</f>
        <v>185.89</v>
      </c>
      <c r="J16" s="28" t="n">
        <f aca="false">H16*I16</f>
        <v>2230.68</v>
      </c>
    </row>
    <row r="17" customFormat="false" ht="15" hidden="false" customHeight="false" outlineLevel="0" collapsed="false">
      <c r="A17" s="1" t="s">
        <v>159</v>
      </c>
      <c r="B17" s="1" t="s">
        <v>160</v>
      </c>
      <c r="G17" s="6" t="s">
        <v>155</v>
      </c>
      <c r="H17" s="9" t="n">
        <f aca="false">'Obras provisionales'!H20</f>
        <v>1</v>
      </c>
      <c r="I17" s="28" t="n">
        <f aca="false">'APU PROVISIONALES'!J206</f>
        <v>976.39</v>
      </c>
      <c r="J17" s="28" t="n">
        <f aca="false">H17*I17</f>
        <v>976.39</v>
      </c>
    </row>
    <row r="18" customFormat="false" ht="15" hidden="false" customHeight="false" outlineLevel="0" collapsed="false">
      <c r="A18" s="1" t="s">
        <v>161</v>
      </c>
      <c r="B18" s="1" t="s">
        <v>162</v>
      </c>
      <c r="G18" s="6" t="s">
        <v>158</v>
      </c>
      <c r="H18" s="9" t="n">
        <f aca="false">'Obras provisionales'!H21</f>
        <v>12</v>
      </c>
      <c r="I18" s="28" t="n">
        <f aca="false">'APU PROVISIONALES'!J213</f>
        <v>185.89</v>
      </c>
      <c r="J18" s="28" t="n">
        <f aca="false">H18*I18</f>
        <v>2230.68</v>
      </c>
    </row>
    <row r="19" customFormat="false" ht="15" hidden="false" customHeight="false" outlineLevel="0" collapsed="false">
      <c r="A19" s="1" t="n">
        <v>1.2</v>
      </c>
      <c r="B19" s="13" t="s">
        <v>163</v>
      </c>
      <c r="G19" s="45"/>
      <c r="H19" s="9"/>
      <c r="I19" s="28"/>
      <c r="J19" s="40" t="n">
        <f aca="false">J20+J23+J26</f>
        <v>45278.7774632712</v>
      </c>
    </row>
    <row r="20" customFormat="false" ht="15" hidden="false" customHeight="false" outlineLevel="0" collapsed="false">
      <c r="A20" s="1" t="s">
        <v>164</v>
      </c>
      <c r="B20" s="41" t="s">
        <v>165</v>
      </c>
      <c r="G20" s="44"/>
      <c r="H20" s="9"/>
      <c r="I20" s="28"/>
      <c r="J20" s="43" t="n">
        <f aca="false">SUM(J21:J22)</f>
        <v>5639.97003591111</v>
      </c>
    </row>
    <row r="21" customFormat="false" ht="15" hidden="false" customHeight="false" outlineLevel="0" collapsed="false">
      <c r="A21" s="1" t="s">
        <v>166</v>
      </c>
      <c r="B21" s="1" t="s">
        <v>167</v>
      </c>
      <c r="G21" s="6" t="s">
        <v>134</v>
      </c>
      <c r="H21" s="9" t="n">
        <f aca="false">'Obras provisionales'!H27</f>
        <v>2248.76</v>
      </c>
      <c r="I21" s="28" t="n">
        <f aca="false">'APU PROVISIONALES'!J220</f>
        <v>1.14856</v>
      </c>
      <c r="J21" s="28" t="n">
        <f aca="false">H21*I21</f>
        <v>2582.8357856</v>
      </c>
    </row>
    <row r="22" customFormat="false" ht="15" hidden="false" customHeight="false" outlineLevel="0" collapsed="false">
      <c r="A22" s="1" t="s">
        <v>168</v>
      </c>
      <c r="B22" s="1" t="s">
        <v>169</v>
      </c>
      <c r="G22" s="6" t="s">
        <v>134</v>
      </c>
      <c r="H22" s="9" t="n">
        <f aca="false">'Obras provisionales'!H28</f>
        <v>2248.76</v>
      </c>
      <c r="I22" s="28" t="n">
        <f aca="false">'APU PROVISIONALES'!J230</f>
        <v>1.35947555555556</v>
      </c>
      <c r="J22" s="28" t="n">
        <f aca="false">H22*I22</f>
        <v>3057.13425031111</v>
      </c>
    </row>
    <row r="23" customFormat="false" ht="15" hidden="false" customHeight="false" outlineLevel="0" collapsed="false">
      <c r="A23" s="1" t="s">
        <v>170</v>
      </c>
      <c r="B23" s="41" t="s">
        <v>171</v>
      </c>
      <c r="G23" s="44"/>
      <c r="H23" s="9"/>
      <c r="I23" s="28"/>
      <c r="J23" s="43" t="n">
        <f aca="false">SUM(J24:J25)</f>
        <v>21104.9997469601</v>
      </c>
    </row>
    <row r="24" customFormat="false" ht="15" hidden="false" customHeight="false" outlineLevel="0" collapsed="false">
      <c r="A24" s="1" t="s">
        <v>172</v>
      </c>
      <c r="B24" s="1" t="s">
        <v>173</v>
      </c>
      <c r="G24" s="6" t="s">
        <v>155</v>
      </c>
      <c r="H24" s="9" t="n">
        <f aca="false">'Obras provisionales'!H30</f>
        <v>1</v>
      </c>
      <c r="I24" s="46" t="n">
        <f aca="false">'APU PROVISIONALES'!J241</f>
        <v>4220.99994939201</v>
      </c>
      <c r="J24" s="28" t="n">
        <f aca="false">H24*I24</f>
        <v>4220.99994939201</v>
      </c>
    </row>
    <row r="25" customFormat="false" ht="15" hidden="false" customHeight="false" outlineLevel="0" collapsed="false">
      <c r="A25" s="1" t="s">
        <v>174</v>
      </c>
      <c r="B25" s="1" t="s">
        <v>175</v>
      </c>
      <c r="G25" s="6" t="s">
        <v>155</v>
      </c>
      <c r="H25" s="9" t="n">
        <f aca="false">'Obras provisionales'!H31</f>
        <v>1</v>
      </c>
      <c r="I25" s="46" t="n">
        <f aca="false">'APU PROVISIONALES'!J252</f>
        <v>16883.999797568</v>
      </c>
      <c r="J25" s="28" t="n">
        <f aca="false">H25*I25</f>
        <v>16883.999797568</v>
      </c>
    </row>
    <row r="26" customFormat="false" ht="15" hidden="false" customHeight="false" outlineLevel="0" collapsed="false">
      <c r="A26" s="1" t="s">
        <v>176</v>
      </c>
      <c r="B26" s="41" t="s">
        <v>177</v>
      </c>
      <c r="G26" s="44"/>
      <c r="H26" s="9"/>
      <c r="I26" s="28"/>
      <c r="J26" s="43" t="n">
        <f aca="false">SUM(J27:J28)</f>
        <v>18533.8076804</v>
      </c>
    </row>
    <row r="27" customFormat="false" ht="15" hidden="false" customHeight="false" outlineLevel="0" collapsed="false">
      <c r="A27" s="1" t="s">
        <v>178</v>
      </c>
      <c r="B27" s="1" t="s">
        <v>179</v>
      </c>
      <c r="G27" s="6" t="s">
        <v>134</v>
      </c>
      <c r="H27" s="9" t="n">
        <f aca="false">'Obras provisionales'!H33</f>
        <v>2248.76</v>
      </c>
      <c r="I27" s="28" t="n">
        <f aca="false">'APU PROVISIONALES'!J255</f>
        <v>3.97626</v>
      </c>
      <c r="J27" s="28" t="n">
        <f aca="false">H27*I27</f>
        <v>8941.6544376</v>
      </c>
      <c r="K27" s="9"/>
    </row>
    <row r="28" customFormat="false" ht="15" hidden="false" customHeight="false" outlineLevel="0" collapsed="false">
      <c r="A28" s="1" t="s">
        <v>180</v>
      </c>
      <c r="B28" s="1" t="s">
        <v>181</v>
      </c>
      <c r="G28" s="6" t="s">
        <v>134</v>
      </c>
      <c r="H28" s="9" t="n">
        <f aca="false">'Obras provisionales'!H34</f>
        <v>2248.76</v>
      </c>
      <c r="I28" s="28" t="n">
        <f aca="false">'APU PROVISIONALES'!J275</f>
        <v>4.26553</v>
      </c>
      <c r="J28" s="28" t="n">
        <f aca="false">H28*I28</f>
        <v>9592.1532428</v>
      </c>
    </row>
    <row r="29" customFormat="false" ht="15" hidden="false" customHeight="false" outlineLevel="0" collapsed="false">
      <c r="A29" s="1" t="n">
        <v>1.3</v>
      </c>
      <c r="B29" s="13" t="s">
        <v>182</v>
      </c>
      <c r="G29" s="45"/>
      <c r="H29" s="9"/>
      <c r="I29" s="28"/>
      <c r="J29" s="40" t="n">
        <f aca="false">J30</f>
        <v>108478.24</v>
      </c>
    </row>
    <row r="30" customFormat="false" ht="15" hidden="false" customHeight="false" outlineLevel="0" collapsed="false">
      <c r="A30" s="1" t="s">
        <v>183</v>
      </c>
      <c r="B30" s="41" t="s">
        <v>184</v>
      </c>
      <c r="G30" s="44"/>
      <c r="H30" s="9"/>
      <c r="I30" s="28"/>
      <c r="J30" s="43" t="n">
        <f aca="false">SUM(J31:J37)</f>
        <v>108478.24</v>
      </c>
    </row>
    <row r="31" customFormat="false" ht="15" hidden="false" customHeight="false" outlineLevel="0" collapsed="false">
      <c r="A31" s="1" t="s">
        <v>185</v>
      </c>
      <c r="B31" s="1" t="s">
        <v>186</v>
      </c>
      <c r="G31" s="6" t="s">
        <v>155</v>
      </c>
      <c r="H31" s="9" t="n">
        <f aca="false">'Obras provisionales'!H37</f>
        <v>1</v>
      </c>
      <c r="I31" s="28" t="n">
        <f aca="false">'APU PROVISIONALES'!J294</f>
        <v>41043.35</v>
      </c>
      <c r="J31" s="28" t="n">
        <f aca="false">H31*I31</f>
        <v>41043.35</v>
      </c>
    </row>
    <row r="32" customFormat="false" ht="15" hidden="false" customHeight="false" outlineLevel="0" collapsed="false">
      <c r="A32" s="1" t="s">
        <v>187</v>
      </c>
      <c r="B32" s="1" t="s">
        <v>188</v>
      </c>
      <c r="G32" s="6" t="s">
        <v>155</v>
      </c>
      <c r="H32" s="9" t="n">
        <f aca="false">'Obras provisionales'!H38</f>
        <v>1</v>
      </c>
      <c r="I32" s="28" t="n">
        <f aca="false">'APU PROVISIONALES'!J320</f>
        <v>3824.87</v>
      </c>
      <c r="J32" s="28" t="n">
        <f aca="false">H32*I32</f>
        <v>3824.87</v>
      </c>
    </row>
    <row r="33" customFormat="false" ht="15" hidden="false" customHeight="false" outlineLevel="0" collapsed="false">
      <c r="A33" s="1" t="s">
        <v>189</v>
      </c>
      <c r="B33" s="1" t="s">
        <v>190</v>
      </c>
      <c r="G33" s="6" t="s">
        <v>155</v>
      </c>
      <c r="H33" s="9" t="n">
        <f aca="false">'Obras provisionales'!H39</f>
        <v>1</v>
      </c>
      <c r="I33" s="28" t="n">
        <f aca="false">'APU PROVISIONALES'!J332</f>
        <v>6076.5</v>
      </c>
      <c r="J33" s="28" t="n">
        <f aca="false">H33*I33</f>
        <v>6076.5</v>
      </c>
    </row>
    <row r="34" customFormat="false" ht="15" hidden="false" customHeight="false" outlineLevel="0" collapsed="false">
      <c r="A34" s="1" t="s">
        <v>191</v>
      </c>
      <c r="B34" s="47" t="s">
        <v>192</v>
      </c>
      <c r="G34" s="6" t="s">
        <v>155</v>
      </c>
      <c r="H34" s="9" t="n">
        <f aca="false">'Obras provisionales'!H40</f>
        <v>1</v>
      </c>
      <c r="I34" s="28" t="n">
        <f aca="false">'APU PROVISIONALES'!J346</f>
        <v>18386.64</v>
      </c>
      <c r="J34" s="28" t="n">
        <f aca="false">H34*I34</f>
        <v>18386.64</v>
      </c>
    </row>
    <row r="35" customFormat="false" ht="15" hidden="false" customHeight="false" outlineLevel="0" collapsed="false">
      <c r="A35" s="1" t="s">
        <v>193</v>
      </c>
      <c r="B35" s="1" t="s">
        <v>194</v>
      </c>
      <c r="G35" s="6" t="s">
        <v>155</v>
      </c>
      <c r="H35" s="9" t="n">
        <f aca="false">'Obras provisionales'!H41</f>
        <v>1</v>
      </c>
      <c r="I35" s="28" t="n">
        <f aca="false">'APU PROVISIONALES'!J355</f>
        <v>1478.8</v>
      </c>
      <c r="J35" s="28" t="n">
        <f aca="false">H35*I35</f>
        <v>1478.8</v>
      </c>
    </row>
    <row r="36" customFormat="false" ht="15" hidden="false" customHeight="false" outlineLevel="0" collapsed="false">
      <c r="A36" s="1" t="s">
        <v>195</v>
      </c>
      <c r="B36" s="1" t="s">
        <v>196</v>
      </c>
      <c r="G36" s="6" t="s">
        <v>150</v>
      </c>
      <c r="H36" s="9" t="n">
        <f aca="false">'Obras provisionales'!H42</f>
        <v>1</v>
      </c>
      <c r="I36" s="28" t="n">
        <f aca="false">'APU PROVISIONALES'!J367</f>
        <v>8515.8</v>
      </c>
      <c r="J36" s="28" t="n">
        <f aca="false">H36*I36</f>
        <v>8515.8</v>
      </c>
    </row>
    <row r="37" customFormat="false" ht="15" hidden="false" customHeight="false" outlineLevel="0" collapsed="false">
      <c r="A37" s="1" t="s">
        <v>197</v>
      </c>
      <c r="B37" s="1" t="s">
        <v>198</v>
      </c>
      <c r="G37" s="6" t="s">
        <v>150</v>
      </c>
      <c r="H37" s="9" t="n">
        <f aca="false">'Obras provisionales'!H43</f>
        <v>1</v>
      </c>
      <c r="I37" s="28" t="n">
        <f aca="false">'APU PROVISIONALES'!J375</f>
        <v>29152.28</v>
      </c>
      <c r="J37" s="28" t="n">
        <f aca="false">H37*I37</f>
        <v>29152.28</v>
      </c>
    </row>
    <row r="38" customFormat="false" ht="15" hidden="false" customHeight="false" outlineLevel="0" collapsed="false">
      <c r="A38" s="1" t="n">
        <v>1.4</v>
      </c>
      <c r="B38" s="13" t="s">
        <v>199</v>
      </c>
      <c r="G38" s="45"/>
      <c r="H38" s="9"/>
      <c r="I38" s="28"/>
      <c r="J38" s="40" t="n">
        <f aca="false">J39+J42+J44+J46+J59+J61</f>
        <v>46256.9006210681</v>
      </c>
    </row>
    <row r="39" customFormat="false" ht="15" hidden="false" customHeight="false" outlineLevel="0" collapsed="false">
      <c r="A39" s="1" t="s">
        <v>200</v>
      </c>
      <c r="B39" s="41" t="s">
        <v>201</v>
      </c>
      <c r="G39" s="44"/>
      <c r="H39" s="9"/>
      <c r="I39" s="28"/>
      <c r="J39" s="43" t="n">
        <f aca="false">SUM(J40:J41)</f>
        <v>21693.715584</v>
      </c>
    </row>
    <row r="40" customFormat="false" ht="15" hidden="false" customHeight="false" outlineLevel="0" collapsed="false">
      <c r="A40" s="1" t="s">
        <v>202</v>
      </c>
      <c r="B40" s="1" t="s">
        <v>203</v>
      </c>
      <c r="G40" s="6" t="s">
        <v>204</v>
      </c>
      <c r="H40" s="9" t="n">
        <f aca="false">'Obras provisionales'!H46</f>
        <v>609.6</v>
      </c>
      <c r="I40" s="28" t="n">
        <f aca="false">'APU PROVISIONALES'!J383</f>
        <v>32.55584</v>
      </c>
      <c r="J40" s="28" t="n">
        <f aca="false">H40*I40</f>
        <v>19846.040064</v>
      </c>
    </row>
    <row r="41" customFormat="false" ht="15" hidden="false" customHeight="false" outlineLevel="0" collapsed="false">
      <c r="A41" s="1" t="s">
        <v>205</v>
      </c>
      <c r="B41" s="1" t="s">
        <v>206</v>
      </c>
      <c r="G41" s="6" t="s">
        <v>150</v>
      </c>
      <c r="H41" s="9" t="n">
        <f aca="false">'Obras provisionales'!H47</f>
        <v>16</v>
      </c>
      <c r="I41" s="28" t="n">
        <f aca="false">'APU PROVISIONALES'!J396</f>
        <v>115.47972</v>
      </c>
      <c r="J41" s="28" t="n">
        <f aca="false">H41*I41</f>
        <v>1847.67552</v>
      </c>
    </row>
    <row r="42" customFormat="false" ht="15" hidden="false" customHeight="false" outlineLevel="0" collapsed="false">
      <c r="A42" s="1" t="s">
        <v>207</v>
      </c>
      <c r="B42" s="41" t="s">
        <v>208</v>
      </c>
      <c r="G42" s="44"/>
      <c r="H42" s="9"/>
      <c r="I42" s="28"/>
      <c r="J42" s="43" t="n">
        <f aca="false">SUM(J43)</f>
        <v>1631.568</v>
      </c>
    </row>
    <row r="43" customFormat="false" ht="15" hidden="false" customHeight="false" outlineLevel="0" collapsed="false">
      <c r="A43" s="1" t="s">
        <v>209</v>
      </c>
      <c r="B43" s="1" t="s">
        <v>210</v>
      </c>
      <c r="G43" s="6" t="s">
        <v>155</v>
      </c>
      <c r="H43" s="9" t="n">
        <f aca="false">'Obras provisionales'!H49</f>
        <v>12</v>
      </c>
      <c r="I43" s="28" t="n">
        <f aca="false">'APU PROVISIONALES'!J413</f>
        <v>135.964</v>
      </c>
      <c r="J43" s="28" t="n">
        <f aca="false">H43*I43</f>
        <v>1631.568</v>
      </c>
    </row>
    <row r="44" customFormat="false" ht="15" hidden="false" customHeight="false" outlineLevel="0" collapsed="false">
      <c r="A44" s="1" t="s">
        <v>211</v>
      </c>
      <c r="B44" s="41" t="s">
        <v>212</v>
      </c>
      <c r="G44" s="44"/>
      <c r="H44" s="9"/>
      <c r="I44" s="28"/>
      <c r="J44" s="43" t="n">
        <f aca="false">SUM(J45)</f>
        <v>11491.5</v>
      </c>
    </row>
    <row r="45" customFormat="false" ht="15" hidden="false" customHeight="false" outlineLevel="0" collapsed="false">
      <c r="A45" s="1" t="s">
        <v>213</v>
      </c>
      <c r="B45" s="1" t="s">
        <v>214</v>
      </c>
      <c r="G45" s="6" t="s">
        <v>215</v>
      </c>
      <c r="H45" s="9" t="n">
        <f aca="false">'Obras provisionales'!H51</f>
        <v>6</v>
      </c>
      <c r="I45" s="28" t="n">
        <f aca="false">'APU PROVISIONALES'!J422</f>
        <v>1915.25</v>
      </c>
      <c r="J45" s="28" t="n">
        <f aca="false">H45*I45</f>
        <v>11491.5</v>
      </c>
    </row>
    <row r="46" customFormat="false" ht="15" hidden="false" customHeight="false" outlineLevel="0" collapsed="false">
      <c r="A46" s="1" t="s">
        <v>216</v>
      </c>
      <c r="B46" s="41" t="s">
        <v>217</v>
      </c>
      <c r="G46" s="44"/>
      <c r="H46" s="9"/>
      <c r="I46" s="28"/>
      <c r="J46" s="43" t="n">
        <f aca="false">J47+J51+J56</f>
        <v>10520.1735168957</v>
      </c>
    </row>
    <row r="47" customFormat="false" ht="15" hidden="false" customHeight="false" outlineLevel="0" collapsed="false">
      <c r="A47" s="1" t="s">
        <v>218</v>
      </c>
      <c r="B47" s="48" t="s">
        <v>219</v>
      </c>
      <c r="G47" s="49"/>
      <c r="H47" s="9"/>
      <c r="I47" s="28"/>
      <c r="J47" s="50" t="n">
        <f aca="false">SUM(J48:J50)</f>
        <v>5630.8728</v>
      </c>
    </row>
    <row r="48" customFormat="false" ht="15" hidden="false" customHeight="false" outlineLevel="0" collapsed="false">
      <c r="A48" s="1" t="s">
        <v>220</v>
      </c>
      <c r="B48" s="1" t="s">
        <v>221</v>
      </c>
      <c r="G48" s="6" t="s">
        <v>150</v>
      </c>
      <c r="H48" s="9" t="n">
        <f aca="false">'Obras provisionales'!H54</f>
        <v>3</v>
      </c>
      <c r="I48" s="28" t="n">
        <f aca="false">'APU PROVISIONALES'!J429</f>
        <v>167.0412</v>
      </c>
      <c r="J48" s="28" t="n">
        <f aca="false">H48*I48</f>
        <v>501.1236</v>
      </c>
    </row>
    <row r="49" customFormat="false" ht="15" hidden="false" customHeight="false" outlineLevel="0" collapsed="false">
      <c r="A49" s="1" t="s">
        <v>222</v>
      </c>
      <c r="B49" s="1" t="s">
        <v>223</v>
      </c>
      <c r="G49" s="6" t="s">
        <v>204</v>
      </c>
      <c r="H49" s="9" t="n">
        <f aca="false">'Obras provisionales'!H55</f>
        <v>9</v>
      </c>
      <c r="I49" s="28" t="n">
        <f aca="false">'APU PROVISIONALES'!J442</f>
        <v>163.192133333333</v>
      </c>
      <c r="J49" s="28" t="n">
        <f aca="false">H49*I49</f>
        <v>1468.7292</v>
      </c>
    </row>
    <row r="50" customFormat="false" ht="15" hidden="false" customHeight="false" outlineLevel="0" collapsed="false">
      <c r="A50" s="1" t="s">
        <v>224</v>
      </c>
      <c r="B50" s="1" t="s">
        <v>225</v>
      </c>
      <c r="G50" s="6" t="s">
        <v>204</v>
      </c>
      <c r="H50" s="9" t="n">
        <f aca="false">'Obras provisionales'!H56</f>
        <v>9</v>
      </c>
      <c r="I50" s="28" t="n">
        <f aca="false">'APU PROVISIONALES'!J460</f>
        <v>406.78</v>
      </c>
      <c r="J50" s="28" t="n">
        <f aca="false">H50*I50</f>
        <v>3661.02</v>
      </c>
    </row>
    <row r="51" customFormat="false" ht="15" hidden="false" customHeight="false" outlineLevel="0" collapsed="false">
      <c r="A51" s="1" t="s">
        <v>226</v>
      </c>
      <c r="B51" s="48" t="s">
        <v>227</v>
      </c>
      <c r="G51" s="49"/>
      <c r="H51" s="9"/>
      <c r="I51" s="28"/>
      <c r="J51" s="50" t="n">
        <f aca="false">SUM(J52:J55)</f>
        <v>3937.70250249572</v>
      </c>
    </row>
    <row r="52" customFormat="false" ht="15" hidden="false" customHeight="false" outlineLevel="0" collapsed="false">
      <c r="A52" s="1" t="s">
        <v>228</v>
      </c>
      <c r="B52" s="1" t="s">
        <v>229</v>
      </c>
      <c r="G52" s="6" t="s">
        <v>134</v>
      </c>
      <c r="H52" s="9" t="n">
        <f aca="false">'Obras provisionales'!H58</f>
        <v>2.24876</v>
      </c>
      <c r="I52" s="28" t="n">
        <f aca="false">'APU PROVISIONALES'!J467</f>
        <v>80.19009</v>
      </c>
      <c r="J52" s="28" t="n">
        <f aca="false">H52*I52</f>
        <v>180.3282667884</v>
      </c>
    </row>
    <row r="53" customFormat="false" ht="15" hidden="false" customHeight="false" outlineLevel="0" collapsed="false">
      <c r="A53" s="1" t="s">
        <v>230</v>
      </c>
      <c r="B53" s="1" t="s">
        <v>231</v>
      </c>
      <c r="G53" s="6" t="s">
        <v>150</v>
      </c>
      <c r="H53" s="9" t="n">
        <f aca="false">'Obras provisionales'!H59</f>
        <v>15</v>
      </c>
      <c r="I53" s="28" t="n">
        <f aca="false">'APU PROVISIONALES'!J487</f>
        <v>148.272048780488</v>
      </c>
      <c r="J53" s="28" t="n">
        <f aca="false">H53*I53</f>
        <v>2224.08073170732</v>
      </c>
    </row>
    <row r="54" customFormat="false" ht="15" hidden="false" customHeight="false" outlineLevel="0" collapsed="false">
      <c r="A54" s="1" t="s">
        <v>232</v>
      </c>
      <c r="B54" s="1" t="s">
        <v>233</v>
      </c>
      <c r="G54" s="6" t="s">
        <v>204</v>
      </c>
      <c r="H54" s="9" t="n">
        <f aca="false">'Obras provisionales'!H60</f>
        <v>24</v>
      </c>
      <c r="I54" s="28" t="n">
        <f aca="false">'APU PROVISIONALES'!J500</f>
        <v>43.2081333333333</v>
      </c>
      <c r="J54" s="28" t="n">
        <f aca="false">H54*I54</f>
        <v>1036.9952</v>
      </c>
    </row>
    <row r="55" customFormat="false" ht="15" hidden="false" customHeight="false" outlineLevel="0" collapsed="false">
      <c r="A55" s="1" t="s">
        <v>234</v>
      </c>
      <c r="B55" s="1" t="s">
        <v>235</v>
      </c>
      <c r="G55" s="6" t="s">
        <v>204</v>
      </c>
      <c r="H55" s="9" t="n">
        <f aca="false">'Obras provisionales'!H61</f>
        <v>36</v>
      </c>
      <c r="I55" s="28" t="n">
        <f aca="false">'APU PROVISIONALES'!J518</f>
        <v>13.786064</v>
      </c>
      <c r="J55" s="28" t="n">
        <f aca="false">H55*I55</f>
        <v>496.298304</v>
      </c>
    </row>
    <row r="56" customFormat="false" ht="15" hidden="false" customHeight="false" outlineLevel="0" collapsed="false">
      <c r="A56" s="1" t="s">
        <v>236</v>
      </c>
      <c r="B56" s="48" t="s">
        <v>237</v>
      </c>
      <c r="G56" s="49"/>
      <c r="H56" s="9"/>
      <c r="I56" s="28"/>
      <c r="J56" s="50" t="n">
        <f aca="false">SUM(J57:J58)</f>
        <v>951.5982144</v>
      </c>
    </row>
    <row r="57" customFormat="false" ht="15" hidden="false" customHeight="false" outlineLevel="0" collapsed="false">
      <c r="A57" s="1" t="s">
        <v>238</v>
      </c>
      <c r="B57" s="1" t="s">
        <v>239</v>
      </c>
      <c r="G57" s="6" t="s">
        <v>158</v>
      </c>
      <c r="H57" s="9" t="n">
        <f aca="false">'Obras provisionales'!H63</f>
        <v>12</v>
      </c>
      <c r="I57" s="28" t="n">
        <f aca="false">'APU PROVISIONALES'!J533</f>
        <v>68.271</v>
      </c>
      <c r="J57" s="28" t="n">
        <f aca="false">H57*I57</f>
        <v>819.252</v>
      </c>
    </row>
    <row r="58" customFormat="false" ht="15" hidden="false" customHeight="false" outlineLevel="0" collapsed="false">
      <c r="A58" s="1" t="s">
        <v>240</v>
      </c>
      <c r="B58" s="1" t="s">
        <v>241</v>
      </c>
      <c r="G58" s="6" t="s">
        <v>204</v>
      </c>
      <c r="H58" s="9" t="n">
        <f aca="false">'Obras provisionales'!H64</f>
        <v>9.6</v>
      </c>
      <c r="I58" s="28" t="n">
        <f aca="false">'APU PROVISIONALES'!J547</f>
        <v>13.786064</v>
      </c>
      <c r="J58" s="28" t="n">
        <f aca="false">H58*I58</f>
        <v>132.3462144</v>
      </c>
    </row>
    <row r="59" customFormat="false" ht="15" hidden="false" customHeight="false" outlineLevel="0" collapsed="false">
      <c r="A59" s="1" t="s">
        <v>242</v>
      </c>
      <c r="B59" s="41" t="s">
        <v>243</v>
      </c>
      <c r="G59" s="44"/>
      <c r="H59" s="9"/>
      <c r="I59" s="28"/>
      <c r="J59" s="43" t="n">
        <f aca="false">SUM(J60)</f>
        <v>402.0068</v>
      </c>
    </row>
    <row r="60" customFormat="false" ht="15" hidden="false" customHeight="false" outlineLevel="0" collapsed="false">
      <c r="A60" s="1" t="s">
        <v>244</v>
      </c>
      <c r="B60" s="1" t="s">
        <v>245</v>
      </c>
      <c r="G60" s="6" t="s">
        <v>150</v>
      </c>
      <c r="H60" s="9" t="n">
        <f aca="false">'Obras provisionales'!H66</f>
        <v>1</v>
      </c>
      <c r="I60" s="28" t="n">
        <f aca="false">'APU PROVISIONALES'!J562</f>
        <v>402.0068</v>
      </c>
      <c r="J60" s="28" t="n">
        <f aca="false">H60*I60</f>
        <v>402.0068</v>
      </c>
    </row>
    <row r="61" customFormat="false" ht="15" hidden="false" customHeight="false" outlineLevel="0" collapsed="false">
      <c r="A61" s="1" t="s">
        <v>246</v>
      </c>
      <c r="B61" s="41" t="s">
        <v>247</v>
      </c>
      <c r="G61" s="44"/>
      <c r="H61" s="9"/>
      <c r="I61" s="28"/>
      <c r="J61" s="43" t="n">
        <f aca="false">SUM(J62:J65)</f>
        <v>517.936720172387</v>
      </c>
    </row>
    <row r="62" customFormat="false" ht="15" hidden="false" customHeight="false" outlineLevel="0" collapsed="false">
      <c r="A62" s="1" t="s">
        <v>248</v>
      </c>
      <c r="B62" s="1" t="s">
        <v>249</v>
      </c>
      <c r="G62" s="6" t="s">
        <v>134</v>
      </c>
      <c r="H62" s="9" t="n">
        <f aca="false">'Obras provisionales'!H68</f>
        <v>44.9752</v>
      </c>
      <c r="I62" s="28" t="n">
        <f aca="false">'APU PROVISIONALES'!J578</f>
        <v>6.94930666666667</v>
      </c>
      <c r="J62" s="28" t="n">
        <f aca="false">H62*I62</f>
        <v>312.546457194667</v>
      </c>
    </row>
    <row r="63" customFormat="false" ht="15" hidden="false" customHeight="false" outlineLevel="0" collapsed="false">
      <c r="A63" s="1" t="s">
        <v>250</v>
      </c>
      <c r="B63" s="1" t="s">
        <v>251</v>
      </c>
      <c r="G63" s="6" t="s">
        <v>204</v>
      </c>
      <c r="H63" s="9" t="n">
        <f aca="false">'Obras provisionales'!H69</f>
        <v>3.37314</v>
      </c>
      <c r="I63" s="28" t="n">
        <f aca="false">'APU PROVISIONALES'!J590</f>
        <v>24.086838</v>
      </c>
      <c r="J63" s="28" t="n">
        <f aca="false">H63*I63</f>
        <v>81.24827673132</v>
      </c>
    </row>
    <row r="64" customFormat="false" ht="15" hidden="false" customHeight="false" outlineLevel="0" collapsed="false">
      <c r="A64" s="1" t="s">
        <v>252</v>
      </c>
      <c r="B64" s="1" t="s">
        <v>253</v>
      </c>
      <c r="G64" s="6" t="s">
        <v>134</v>
      </c>
      <c r="H64" s="9" t="n">
        <f aca="false">'Obras provisionales'!H70</f>
        <v>6.74628</v>
      </c>
      <c r="I64" s="28" t="n">
        <f aca="false">'APU PROVISIONALES'!J606</f>
        <v>7.69136</v>
      </c>
      <c r="J64" s="28" t="n">
        <f aca="false">H64*I64</f>
        <v>51.8880681408</v>
      </c>
    </row>
    <row r="65" customFormat="false" ht="15" hidden="false" customHeight="false" outlineLevel="0" collapsed="false">
      <c r="A65" s="1" t="s">
        <v>254</v>
      </c>
      <c r="B65" s="1" t="s">
        <v>255</v>
      </c>
      <c r="G65" s="6" t="s">
        <v>134</v>
      </c>
      <c r="H65" s="9" t="n">
        <f aca="false">'Obras provisionales'!H71</f>
        <v>8.99504</v>
      </c>
      <c r="I65" s="28" t="n">
        <f aca="false">'APU PROVISIONALES'!J620</f>
        <v>8.03264</v>
      </c>
      <c r="J65" s="28" t="n">
        <f aca="false">H65*I65</f>
        <v>72.2539181056</v>
      </c>
    </row>
    <row r="66" customFormat="false" ht="15" hidden="false" customHeight="false" outlineLevel="0" collapsed="false">
      <c r="A66" s="1" t="n">
        <v>1.5</v>
      </c>
      <c r="B66" s="13" t="s">
        <v>256</v>
      </c>
      <c r="G66" s="45"/>
      <c r="H66" s="9"/>
      <c r="I66" s="28"/>
      <c r="J66" s="40" t="n">
        <f aca="false">J67+J75</f>
        <v>27888.44411067</v>
      </c>
    </row>
    <row r="67" customFormat="false" ht="15" hidden="false" customHeight="false" outlineLevel="0" collapsed="false">
      <c r="A67" s="1" t="s">
        <v>257</v>
      </c>
      <c r="B67" s="41" t="s">
        <v>258</v>
      </c>
      <c r="C67" s="51"/>
      <c r="G67" s="6"/>
      <c r="H67" s="9"/>
      <c r="I67" s="28"/>
      <c r="J67" s="43" t="n">
        <f aca="false">SUM(J68:J74)</f>
        <v>11835.94814827</v>
      </c>
    </row>
    <row r="68" customFormat="false" ht="15" hidden="false" customHeight="false" outlineLevel="0" collapsed="false">
      <c r="A68" s="1" t="s">
        <v>259</v>
      </c>
      <c r="B68" s="1" t="s">
        <v>260</v>
      </c>
      <c r="G68" s="6" t="s">
        <v>134</v>
      </c>
      <c r="H68" s="9" t="n">
        <f aca="false">IF('Datos iniciales '!$E$3="SI",'Obras provisionales'!H74,0)</f>
        <v>117.62402</v>
      </c>
      <c r="I68" s="28" t="n">
        <f aca="false">'APU PROVISIONALES'!J635</f>
        <v>16.07</v>
      </c>
      <c r="J68" s="28" t="n">
        <f aca="false">H68*I68</f>
        <v>1890.2180014</v>
      </c>
    </row>
    <row r="69" customFormat="false" ht="15" hidden="false" customHeight="false" outlineLevel="0" collapsed="false">
      <c r="A69" s="1" t="s">
        <v>261</v>
      </c>
      <c r="B69" s="1" t="s">
        <v>262</v>
      </c>
      <c r="G69" s="6" t="s">
        <v>134</v>
      </c>
      <c r="H69" s="9" t="n">
        <f aca="false">IF('Datos iniciales '!$E$3="SI",'Obras provisionales'!H75,0)</f>
        <v>179.89556</v>
      </c>
      <c r="I69" s="28" t="n">
        <f aca="false">'APU PROVISIONALES'!J642</f>
        <v>20.09</v>
      </c>
      <c r="J69" s="28" t="n">
        <f aca="false">H69*I69</f>
        <v>3614.1018004</v>
      </c>
    </row>
    <row r="70" customFormat="false" ht="15" hidden="false" customHeight="false" outlineLevel="0" collapsed="false">
      <c r="A70" s="1" t="s">
        <v>263</v>
      </c>
      <c r="B70" s="1" t="s">
        <v>264</v>
      </c>
      <c r="G70" s="6" t="s">
        <v>134</v>
      </c>
      <c r="H70" s="9" t="n">
        <f aca="false">IF('Datos iniciales '!$E$3="SI",'Obras provisionales'!H76,0)</f>
        <v>162.59791</v>
      </c>
      <c r="I70" s="28" t="n">
        <f aca="false">'APU PROVISIONALES'!J649</f>
        <v>20.09</v>
      </c>
      <c r="J70" s="28" t="n">
        <f aca="false">H70*I70</f>
        <v>3266.5920119</v>
      </c>
    </row>
    <row r="71" customFormat="false" ht="15" hidden="false" customHeight="false" outlineLevel="0" collapsed="false">
      <c r="A71" s="1" t="s">
        <v>265</v>
      </c>
      <c r="B71" s="1" t="s">
        <v>266</v>
      </c>
      <c r="G71" s="6" t="s">
        <v>134</v>
      </c>
      <c r="H71" s="9" t="n">
        <f aca="false">IF('Datos iniciales '!$E$3="SI",'Obras provisionales'!H77,0)</f>
        <v>3.45953</v>
      </c>
      <c r="I71" s="28" t="n">
        <f aca="false">'APU PROVISIONALES'!J656</f>
        <v>20.09</v>
      </c>
      <c r="J71" s="28" t="n">
        <f aca="false">H71*I71</f>
        <v>69.5019577</v>
      </c>
    </row>
    <row r="72" customFormat="false" ht="15" hidden="false" customHeight="false" outlineLevel="0" collapsed="false">
      <c r="A72" s="1" t="s">
        <v>267</v>
      </c>
      <c r="B72" s="1" t="s">
        <v>268</v>
      </c>
      <c r="G72" s="6" t="s">
        <v>134</v>
      </c>
      <c r="H72" s="9" t="n">
        <f aca="false">IF('Datos iniciales '!$E$3="SI",'Obras provisionales'!H78,0)</f>
        <v>7.956919</v>
      </c>
      <c r="I72" s="28" t="n">
        <f aca="false">'APU PROVISIONALES'!J663</f>
        <v>20.09</v>
      </c>
      <c r="J72" s="28" t="n">
        <f aca="false">H72*I72</f>
        <v>159.85450271</v>
      </c>
    </row>
    <row r="73" customFormat="false" ht="15" hidden="false" customHeight="false" outlineLevel="0" collapsed="false">
      <c r="A73" s="1" t="s">
        <v>269</v>
      </c>
      <c r="B73" s="1" t="s">
        <v>270</v>
      </c>
      <c r="G73" s="6" t="s">
        <v>134</v>
      </c>
      <c r="H73" s="9" t="n">
        <f aca="false">IF('Datos iniciales '!$E$3="SI",'Obras provisionales'!H79,0)</f>
        <v>13.146214</v>
      </c>
      <c r="I73" s="28" t="n">
        <f aca="false">'APU PROVISIONALES'!J670</f>
        <v>20.09</v>
      </c>
      <c r="J73" s="28" t="n">
        <f aca="false">H73*I73</f>
        <v>264.10743926</v>
      </c>
    </row>
    <row r="74" customFormat="false" ht="15" hidden="false" customHeight="false" outlineLevel="0" collapsed="false">
      <c r="A74" s="1" t="s">
        <v>271</v>
      </c>
      <c r="B74" s="1" t="s">
        <v>272</v>
      </c>
      <c r="G74" s="6" t="s">
        <v>134</v>
      </c>
      <c r="H74" s="9" t="n">
        <f aca="false">IF('Datos iniciales '!$E$3="SI",'Obras provisionales'!H80,0)</f>
        <v>128.00261</v>
      </c>
      <c r="I74" s="28" t="n">
        <f aca="false">'APU PROVISIONALES'!J677</f>
        <v>20.09</v>
      </c>
      <c r="J74" s="28" t="n">
        <f aca="false">H74*I74</f>
        <v>2571.5724349</v>
      </c>
    </row>
    <row r="75" customFormat="false" ht="15" hidden="false" customHeight="false" outlineLevel="0" collapsed="false">
      <c r="A75" s="1" t="s">
        <v>273</v>
      </c>
      <c r="B75" s="41" t="s">
        <v>256</v>
      </c>
      <c r="G75" s="6"/>
      <c r="H75" s="9"/>
      <c r="I75" s="28"/>
      <c r="J75" s="43" t="n">
        <f aca="false">SUM(J76:J77)</f>
        <v>16052.4959624</v>
      </c>
    </row>
    <row r="76" customFormat="false" ht="15" hidden="false" customHeight="false" outlineLevel="0" collapsed="false">
      <c r="A76" s="1" t="s">
        <v>274</v>
      </c>
      <c r="B76" s="1" t="s">
        <v>275</v>
      </c>
      <c r="G76" s="6" t="s">
        <v>134</v>
      </c>
      <c r="H76" s="9" t="n">
        <f aca="false">IF('Datos iniciales '!$E$3="SI",'Obras provisionales'!H82,0)</f>
        <v>183.35509</v>
      </c>
      <c r="I76" s="28" t="n">
        <f aca="false">'APU PROVISIONALES'!J684</f>
        <v>54.2</v>
      </c>
      <c r="J76" s="28" t="n">
        <f aca="false">H76*I76</f>
        <v>9937.845878</v>
      </c>
    </row>
    <row r="77" customFormat="false" ht="15" hidden="false" customHeight="false" outlineLevel="0" collapsed="false">
      <c r="A77" s="1" t="s">
        <v>276</v>
      </c>
      <c r="B77" s="1" t="s">
        <v>277</v>
      </c>
      <c r="G77" s="6" t="s">
        <v>204</v>
      </c>
      <c r="H77" s="9" t="n">
        <f aca="false">IF('Datos iniciales '!$E$3="SI",'Obras provisionales'!H83,0)</f>
        <v>152.21932</v>
      </c>
      <c r="I77" s="28" t="n">
        <f aca="false">'APU PROVISIONALES'!J691</f>
        <v>40.17</v>
      </c>
      <c r="J77" s="28" t="n">
        <f aca="false">H77*I77</f>
        <v>6114.6500844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2:J6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8.59765625" defaultRowHeight="15" zeroHeight="false" outlineLevelRow="0" outlineLevelCol="0"/>
  <cols>
    <col collapsed="false" customWidth="true" hidden="false" outlineLevel="0" max="16384" min="16384" style="1" width="10.16"/>
  </cols>
  <sheetData>
    <row r="2" customFormat="false" ht="15" hidden="false" customHeight="false" outlineLevel="0" collapsed="false">
      <c r="A2" s="14" t="s">
        <v>278</v>
      </c>
      <c r="B2" s="14" t="str">
        <f aca="false">PROVISIONALES!A6</f>
        <v>1.1.1.1</v>
      </c>
      <c r="C2" s="14" t="s">
        <v>133</v>
      </c>
      <c r="D2" s="14"/>
      <c r="E2" s="14"/>
      <c r="F2" s="14"/>
      <c r="G2" s="14"/>
      <c r="H2" s="14"/>
      <c r="I2" s="14"/>
    </row>
    <row r="3" customFormat="false" ht="15" hidden="false" customHeight="false" outlineLevel="0" collapsed="false">
      <c r="A3" s="14" t="s">
        <v>279</v>
      </c>
      <c r="B3" s="14" t="s">
        <v>280</v>
      </c>
      <c r="C3" s="36" t="s">
        <v>281</v>
      </c>
      <c r="D3" s="52" t="n">
        <v>25</v>
      </c>
      <c r="E3" s="36" t="s">
        <v>282</v>
      </c>
      <c r="F3" s="52" t="n">
        <f aca="false">D3</f>
        <v>25</v>
      </c>
      <c r="G3" s="14" t="s">
        <v>283</v>
      </c>
      <c r="I3" s="36" t="s">
        <v>150</v>
      </c>
      <c r="J3" s="53" t="n">
        <f aca="false">J10++J22+J25</f>
        <v>158.90001</v>
      </c>
    </row>
    <row r="4" customFormat="false" ht="15" hidden="false" customHeight="false" outlineLevel="0" collapsed="false">
      <c r="A4" s="14" t="s">
        <v>284</v>
      </c>
      <c r="B4" s="14" t="s">
        <v>285</v>
      </c>
      <c r="F4" s="36" t="s">
        <v>123</v>
      </c>
      <c r="G4" s="36" t="s">
        <v>286</v>
      </c>
      <c r="H4" s="36" t="s">
        <v>287</v>
      </c>
      <c r="I4" s="36" t="s">
        <v>288</v>
      </c>
      <c r="J4" s="36" t="s">
        <v>289</v>
      </c>
    </row>
    <row r="5" customFormat="false" ht="15" hidden="false" customHeight="false" outlineLevel="0" collapsed="false">
      <c r="B5" s="54" t="s">
        <v>290</v>
      </c>
    </row>
    <row r="6" customFormat="false" ht="15" hidden="false" customHeight="false" outlineLevel="0" collapsed="false">
      <c r="F6" s="55"/>
      <c r="G6" s="56"/>
      <c r="H6" s="57"/>
      <c r="I6" s="28"/>
      <c r="J6" s="28"/>
    </row>
    <row r="7" customFormat="false" ht="15" hidden="false" customHeight="false" outlineLevel="0" collapsed="false">
      <c r="B7" s="1" t="s">
        <v>291</v>
      </c>
      <c r="F7" s="55" t="s">
        <v>292</v>
      </c>
      <c r="G7" s="56" t="n">
        <v>1</v>
      </c>
      <c r="H7" s="57" t="n">
        <f aca="false">G7*8/$D$3</f>
        <v>0.32</v>
      </c>
      <c r="I7" s="28" t="n">
        <v>28.94</v>
      </c>
      <c r="J7" s="28" t="n">
        <f aca="false">H7*I7</f>
        <v>9.2608</v>
      </c>
    </row>
    <row r="8" customFormat="false" ht="15" hidden="false" customHeight="false" outlineLevel="0" collapsed="false">
      <c r="B8" s="1" t="s">
        <v>293</v>
      </c>
      <c r="F8" s="55" t="s">
        <v>292</v>
      </c>
      <c r="G8" s="56" t="n">
        <v>1</v>
      </c>
      <c r="H8" s="57" t="n">
        <f aca="false">G8*8/$D$3</f>
        <v>0.32</v>
      </c>
      <c r="I8" s="28" t="n">
        <v>22.66</v>
      </c>
      <c r="J8" s="28" t="n">
        <f aca="false">H8*I8</f>
        <v>7.2512</v>
      </c>
    </row>
    <row r="9" customFormat="false" ht="15" hidden="false" customHeight="false" outlineLevel="0" collapsed="false">
      <c r="B9" s="1" t="s">
        <v>294</v>
      </c>
      <c r="F9" s="55" t="s">
        <v>292</v>
      </c>
      <c r="G9" s="56" t="n">
        <v>3</v>
      </c>
      <c r="H9" s="57" t="n">
        <f aca="false">G9*8/$D$3</f>
        <v>0.96</v>
      </c>
      <c r="I9" s="28" t="n">
        <v>20.51</v>
      </c>
      <c r="J9" s="28" t="n">
        <f aca="false">H9*I9</f>
        <v>19.6896</v>
      </c>
    </row>
    <row r="10" customFormat="false" ht="15" hidden="false" customHeight="false" outlineLevel="0" collapsed="false">
      <c r="J10" s="53" t="n">
        <f aca="false">SUM(J6:J9)</f>
        <v>36.2016</v>
      </c>
    </row>
    <row r="11" customFormat="false" ht="15" hidden="false" customHeight="false" outlineLevel="0" collapsed="false">
      <c r="B11" s="54" t="s">
        <v>295</v>
      </c>
    </row>
    <row r="12" customFormat="false" ht="15" hidden="false" customHeight="false" outlineLevel="0" collapsed="false">
      <c r="B12" s="1" t="s">
        <v>296</v>
      </c>
      <c r="F12" s="55" t="s">
        <v>297</v>
      </c>
      <c r="G12" s="56"/>
      <c r="H12" s="57" t="n">
        <v>1.25</v>
      </c>
      <c r="I12" s="28" t="n">
        <v>2.64</v>
      </c>
      <c r="J12" s="28" t="n">
        <f aca="false">H12*I12</f>
        <v>3.3</v>
      </c>
    </row>
    <row r="13" customFormat="false" ht="15" hidden="false" customHeight="false" outlineLevel="0" collapsed="false">
      <c r="B13" s="1" t="s">
        <v>298</v>
      </c>
      <c r="F13" s="55" t="s">
        <v>299</v>
      </c>
      <c r="G13" s="56"/>
      <c r="H13" s="57" t="n">
        <v>1.8</v>
      </c>
      <c r="I13" s="1" t="n">
        <v>14.15</v>
      </c>
      <c r="J13" s="28" t="n">
        <f aca="false">H13*I13</f>
        <v>25.47</v>
      </c>
    </row>
    <row r="14" customFormat="false" ht="15" hidden="false" customHeight="false" outlineLevel="0" collapsed="false">
      <c r="B14" s="1" t="s">
        <v>300</v>
      </c>
      <c r="F14" s="55" t="s">
        <v>150</v>
      </c>
      <c r="G14" s="56"/>
      <c r="H14" s="57" t="n">
        <v>0.2</v>
      </c>
      <c r="I14" s="1" t="n">
        <v>55</v>
      </c>
      <c r="J14" s="28" t="n">
        <f aca="false">H14*I14</f>
        <v>11</v>
      </c>
    </row>
    <row r="15" customFormat="false" ht="15" hidden="false" customHeight="false" outlineLevel="0" collapsed="false">
      <c r="B15" s="1" t="s">
        <v>301</v>
      </c>
      <c r="F15" s="55" t="s">
        <v>297</v>
      </c>
      <c r="H15" s="57" t="n">
        <v>0.06</v>
      </c>
      <c r="I15" s="1" t="n">
        <v>10.93</v>
      </c>
      <c r="J15" s="28" t="n">
        <f aca="false">H15*I15</f>
        <v>0.6558</v>
      </c>
    </row>
    <row r="16" customFormat="false" ht="15" hidden="false" customHeight="false" outlineLevel="0" collapsed="false">
      <c r="B16" s="1" t="s">
        <v>302</v>
      </c>
      <c r="F16" s="55" t="s">
        <v>297</v>
      </c>
      <c r="H16" s="57" t="n">
        <v>0.071</v>
      </c>
      <c r="I16" s="28" t="n">
        <v>5.51</v>
      </c>
      <c r="J16" s="28" t="n">
        <f aca="false">H16*I16</f>
        <v>0.39121</v>
      </c>
    </row>
    <row r="17" customFormat="false" ht="15" hidden="false" customHeight="false" outlineLevel="0" collapsed="false">
      <c r="B17" s="1" t="s">
        <v>303</v>
      </c>
      <c r="F17" s="55" t="s">
        <v>204</v>
      </c>
      <c r="H17" s="57" t="n">
        <v>0.19</v>
      </c>
      <c r="I17" s="28" t="n">
        <v>70.92</v>
      </c>
      <c r="J17" s="28" t="n">
        <f aca="false">H17*I17</f>
        <v>13.4748</v>
      </c>
    </row>
    <row r="18" customFormat="false" ht="15" hidden="false" customHeight="false" outlineLevel="0" collapsed="false">
      <c r="B18" s="1" t="s">
        <v>304</v>
      </c>
      <c r="F18" s="55" t="s">
        <v>299</v>
      </c>
      <c r="H18" s="57" t="n">
        <v>0.53</v>
      </c>
      <c r="I18" s="1" t="n">
        <v>27.88</v>
      </c>
      <c r="J18" s="28" t="n">
        <f aca="false">H18*I18</f>
        <v>14.7764</v>
      </c>
    </row>
    <row r="19" customFormat="false" ht="15" hidden="false" customHeight="false" outlineLevel="0" collapsed="false">
      <c r="B19" s="1" t="s">
        <v>305</v>
      </c>
      <c r="F19" s="55" t="s">
        <v>306</v>
      </c>
      <c r="H19" s="57" t="n">
        <v>0.2374</v>
      </c>
      <c r="I19" s="1" t="n">
        <v>32.2</v>
      </c>
      <c r="J19" s="28" t="n">
        <f aca="false">H19*I19</f>
        <v>7.64428</v>
      </c>
    </row>
    <row r="20" customFormat="false" ht="15" hidden="false" customHeight="false" outlineLevel="0" collapsed="false">
      <c r="B20" s="1" t="s">
        <v>307</v>
      </c>
      <c r="F20" s="55" t="s">
        <v>308</v>
      </c>
      <c r="H20" s="57" t="n">
        <v>1.092</v>
      </c>
      <c r="I20" s="28" t="n">
        <v>24.52</v>
      </c>
      <c r="J20" s="28" t="n">
        <f aca="false">H20*I20</f>
        <v>26.77584</v>
      </c>
    </row>
    <row r="21" customFormat="false" ht="15" hidden="false" customHeight="false" outlineLevel="0" collapsed="false">
      <c r="B21" s="1" t="s">
        <v>309</v>
      </c>
      <c r="F21" s="55" t="s">
        <v>306</v>
      </c>
      <c r="H21" s="57" t="n">
        <v>3</v>
      </c>
      <c r="I21" s="28" t="n">
        <v>5.8</v>
      </c>
      <c r="J21" s="28" t="n">
        <f aca="false">H21*I21</f>
        <v>17.4</v>
      </c>
    </row>
    <row r="22" customFormat="false" ht="15" hidden="false" customHeight="false" outlineLevel="0" collapsed="false">
      <c r="F22" s="55"/>
      <c r="H22" s="57"/>
      <c r="I22" s="28"/>
      <c r="J22" s="53" t="n">
        <f aca="false">SUM(J12:J21)</f>
        <v>120.88833</v>
      </c>
    </row>
    <row r="23" customFormat="false" ht="15" hidden="false" customHeight="false" outlineLevel="0" collapsed="false">
      <c r="B23" s="54" t="s">
        <v>310</v>
      </c>
    </row>
    <row r="24" customFormat="false" ht="15" hidden="false" customHeight="false" outlineLevel="0" collapsed="false">
      <c r="B24" s="1" t="s">
        <v>311</v>
      </c>
      <c r="F24" s="55" t="s">
        <v>312</v>
      </c>
      <c r="H24" s="57" t="n">
        <v>5</v>
      </c>
      <c r="I24" s="28" t="n">
        <f aca="false">J10</f>
        <v>36.2016</v>
      </c>
      <c r="J24" s="28" t="n">
        <f aca="false">H24%*I24</f>
        <v>1.81008</v>
      </c>
    </row>
    <row r="25" customFormat="false" ht="15" hidden="false" customHeight="false" outlineLevel="0" collapsed="false">
      <c r="J25" s="53" t="n">
        <f aca="false">SUM(J24)</f>
        <v>1.81008</v>
      </c>
    </row>
    <row r="26" customFormat="false" ht="15" hidden="false" customHeight="false" outlineLevel="0" collapsed="false">
      <c r="A26" s="58"/>
      <c r="B26" s="58"/>
      <c r="C26" s="58"/>
      <c r="D26" s="58"/>
      <c r="E26" s="58"/>
      <c r="F26" s="58"/>
      <c r="G26" s="58"/>
      <c r="H26" s="59"/>
      <c r="I26" s="59"/>
      <c r="J26" s="58"/>
    </row>
    <row r="27" customFormat="false" ht="15" hidden="false" customHeight="false" outlineLevel="0" collapsed="false">
      <c r="A27" s="14" t="s">
        <v>278</v>
      </c>
      <c r="B27" s="14" t="str">
        <f aca="false">PROVISIONALES!A7</f>
        <v>1.1.1.2</v>
      </c>
      <c r="C27" s="14" t="s">
        <v>136</v>
      </c>
      <c r="D27" s="14"/>
      <c r="E27" s="14"/>
      <c r="F27" s="14"/>
      <c r="G27" s="14"/>
      <c r="H27" s="14"/>
      <c r="I27" s="14"/>
    </row>
    <row r="28" customFormat="false" ht="15" hidden="false" customHeight="false" outlineLevel="0" collapsed="false">
      <c r="A28" s="14" t="s">
        <v>279</v>
      </c>
      <c r="B28" s="14" t="s">
        <v>280</v>
      </c>
      <c r="C28" s="36" t="s">
        <v>281</v>
      </c>
      <c r="D28" s="52" t="n">
        <v>40</v>
      </c>
      <c r="E28" s="36" t="s">
        <v>282</v>
      </c>
      <c r="F28" s="52" t="n">
        <f aca="false">D28</f>
        <v>40</v>
      </c>
      <c r="G28" s="14" t="s">
        <v>283</v>
      </c>
      <c r="I28" s="36" t="s">
        <v>150</v>
      </c>
      <c r="J28" s="53" t="n">
        <f aca="false">J34++J46+J49</f>
        <v>144.64563</v>
      </c>
    </row>
    <row r="29" customFormat="false" ht="15" hidden="false" customHeight="false" outlineLevel="0" collapsed="false">
      <c r="A29" s="14" t="s">
        <v>284</v>
      </c>
      <c r="B29" s="14" t="s">
        <v>285</v>
      </c>
      <c r="F29" s="36" t="s">
        <v>123</v>
      </c>
      <c r="G29" s="36" t="s">
        <v>286</v>
      </c>
      <c r="H29" s="36" t="s">
        <v>287</v>
      </c>
      <c r="I29" s="36" t="s">
        <v>288</v>
      </c>
      <c r="J29" s="36" t="s">
        <v>289</v>
      </c>
    </row>
    <row r="30" customFormat="false" ht="15" hidden="false" customHeight="false" outlineLevel="0" collapsed="false">
      <c r="B30" s="54" t="s">
        <v>290</v>
      </c>
    </row>
    <row r="31" customFormat="false" ht="15" hidden="false" customHeight="false" outlineLevel="0" collapsed="false">
      <c r="B31" s="1" t="s">
        <v>291</v>
      </c>
      <c r="F31" s="55" t="s">
        <v>292</v>
      </c>
      <c r="G31" s="56" t="n">
        <v>1</v>
      </c>
      <c r="H31" s="57" t="n">
        <f aca="false">G31*8/$D$28</f>
        <v>0.2</v>
      </c>
      <c r="I31" s="28" t="n">
        <v>28.94</v>
      </c>
      <c r="J31" s="28" t="n">
        <f aca="false">H31*I31</f>
        <v>5.788</v>
      </c>
    </row>
    <row r="32" customFormat="false" ht="15" hidden="false" customHeight="false" outlineLevel="0" collapsed="false">
      <c r="B32" s="1" t="s">
        <v>293</v>
      </c>
      <c r="F32" s="55" t="s">
        <v>292</v>
      </c>
      <c r="G32" s="56" t="n">
        <v>1</v>
      </c>
      <c r="H32" s="57" t="n">
        <f aca="false">G32*8/$D$28</f>
        <v>0.2</v>
      </c>
      <c r="I32" s="28" t="n">
        <v>22.66</v>
      </c>
      <c r="J32" s="28" t="n">
        <f aca="false">H32*I32</f>
        <v>4.532</v>
      </c>
    </row>
    <row r="33" customFormat="false" ht="15" hidden="false" customHeight="false" outlineLevel="0" collapsed="false">
      <c r="B33" s="1" t="s">
        <v>294</v>
      </c>
      <c r="F33" s="55" t="s">
        <v>292</v>
      </c>
      <c r="G33" s="56" t="n">
        <v>3</v>
      </c>
      <c r="H33" s="57" t="n">
        <f aca="false">G33*8/$D$28</f>
        <v>0.6</v>
      </c>
      <c r="I33" s="28" t="n">
        <v>20.51</v>
      </c>
      <c r="J33" s="28" t="n">
        <f aca="false">H33*I33</f>
        <v>12.306</v>
      </c>
    </row>
    <row r="34" customFormat="false" ht="15" hidden="false" customHeight="false" outlineLevel="0" collapsed="false">
      <c r="J34" s="53" t="n">
        <f aca="false">SUM(J31:J33)</f>
        <v>22.626</v>
      </c>
    </row>
    <row r="35" customFormat="false" ht="15" hidden="false" customHeight="false" outlineLevel="0" collapsed="false">
      <c r="B35" s="54" t="s">
        <v>295</v>
      </c>
    </row>
    <row r="36" customFormat="false" ht="15" hidden="false" customHeight="false" outlineLevel="0" collapsed="false">
      <c r="B36" s="1" t="s">
        <v>296</v>
      </c>
      <c r="F36" s="55" t="s">
        <v>297</v>
      </c>
      <c r="G36" s="56"/>
      <c r="H36" s="57" t="n">
        <v>1.25</v>
      </c>
      <c r="I36" s="28" t="n">
        <v>2.64</v>
      </c>
      <c r="J36" s="28" t="n">
        <f aca="false">H36*I36</f>
        <v>3.3</v>
      </c>
    </row>
    <row r="37" customFormat="false" ht="15" hidden="false" customHeight="false" outlineLevel="0" collapsed="false">
      <c r="B37" s="1" t="s">
        <v>298</v>
      </c>
      <c r="F37" s="55" t="s">
        <v>299</v>
      </c>
      <c r="G37" s="56"/>
      <c r="H37" s="57" t="n">
        <v>1.8</v>
      </c>
      <c r="I37" s="1" t="n">
        <v>14.15</v>
      </c>
      <c r="J37" s="28" t="n">
        <f aca="false">H37*I37</f>
        <v>25.47</v>
      </c>
    </row>
    <row r="38" customFormat="false" ht="15" hidden="false" customHeight="false" outlineLevel="0" collapsed="false">
      <c r="B38" s="1" t="s">
        <v>300</v>
      </c>
      <c r="F38" s="55" t="s">
        <v>150</v>
      </c>
      <c r="G38" s="56"/>
      <c r="H38" s="57" t="n">
        <v>0.2</v>
      </c>
      <c r="I38" s="1" t="n">
        <v>55</v>
      </c>
      <c r="J38" s="28" t="n">
        <f aca="false">H38*I38</f>
        <v>11</v>
      </c>
    </row>
    <row r="39" customFormat="false" ht="15" hidden="false" customHeight="false" outlineLevel="0" collapsed="false">
      <c r="B39" s="1" t="s">
        <v>301</v>
      </c>
      <c r="F39" s="55" t="s">
        <v>297</v>
      </c>
      <c r="H39" s="57" t="n">
        <v>0.06</v>
      </c>
      <c r="I39" s="1" t="n">
        <v>10.93</v>
      </c>
      <c r="J39" s="28" t="n">
        <f aca="false">H39*I39</f>
        <v>0.6558</v>
      </c>
    </row>
    <row r="40" customFormat="false" ht="15" hidden="false" customHeight="false" outlineLevel="0" collapsed="false">
      <c r="B40" s="1" t="s">
        <v>302</v>
      </c>
      <c r="F40" s="55" t="s">
        <v>297</v>
      </c>
      <c r="H40" s="57" t="n">
        <v>0.071</v>
      </c>
      <c r="I40" s="28" t="n">
        <v>5.51</v>
      </c>
      <c r="J40" s="28" t="n">
        <f aca="false">H40*I40</f>
        <v>0.39121</v>
      </c>
    </row>
    <row r="41" customFormat="false" ht="15" hidden="false" customHeight="false" outlineLevel="0" collapsed="false">
      <c r="B41" s="1" t="s">
        <v>303</v>
      </c>
      <c r="F41" s="55" t="s">
        <v>204</v>
      </c>
      <c r="H41" s="57" t="n">
        <v>0.19</v>
      </c>
      <c r="I41" s="28" t="n">
        <v>70.92</v>
      </c>
      <c r="J41" s="28" t="n">
        <f aca="false">H41*I41</f>
        <v>13.4748</v>
      </c>
    </row>
    <row r="42" customFormat="false" ht="15" hidden="false" customHeight="false" outlineLevel="0" collapsed="false">
      <c r="B42" s="1" t="s">
        <v>304</v>
      </c>
      <c r="F42" s="55" t="s">
        <v>299</v>
      </c>
      <c r="H42" s="57" t="n">
        <v>0.53</v>
      </c>
      <c r="I42" s="1" t="n">
        <v>27.88</v>
      </c>
      <c r="J42" s="28" t="n">
        <f aca="false">H42*I42</f>
        <v>14.7764</v>
      </c>
    </row>
    <row r="43" customFormat="false" ht="15" hidden="false" customHeight="false" outlineLevel="0" collapsed="false">
      <c r="B43" s="1" t="s">
        <v>305</v>
      </c>
      <c r="F43" s="55" t="s">
        <v>306</v>
      </c>
      <c r="H43" s="57" t="n">
        <v>0.2374</v>
      </c>
      <c r="I43" s="1" t="n">
        <v>32.2</v>
      </c>
      <c r="J43" s="28" t="n">
        <f aca="false">H43*I43</f>
        <v>7.64428</v>
      </c>
    </row>
    <row r="44" customFormat="false" ht="15" hidden="false" customHeight="false" outlineLevel="0" collapsed="false">
      <c r="B44" s="1" t="s">
        <v>307</v>
      </c>
      <c r="F44" s="55" t="s">
        <v>308</v>
      </c>
      <c r="H44" s="57" t="n">
        <v>1.092</v>
      </c>
      <c r="I44" s="28" t="n">
        <v>24.52</v>
      </c>
      <c r="J44" s="28" t="n">
        <f aca="false">H44*I44</f>
        <v>26.77584</v>
      </c>
    </row>
    <row r="45" customFormat="false" ht="15" hidden="false" customHeight="false" outlineLevel="0" collapsed="false">
      <c r="B45" s="1" t="s">
        <v>309</v>
      </c>
      <c r="F45" s="55" t="s">
        <v>306</v>
      </c>
      <c r="H45" s="57" t="n">
        <v>3</v>
      </c>
      <c r="I45" s="28" t="n">
        <v>5.8</v>
      </c>
      <c r="J45" s="28" t="n">
        <f aca="false">H45*I45</f>
        <v>17.4</v>
      </c>
    </row>
    <row r="46" customFormat="false" ht="15" hidden="false" customHeight="false" outlineLevel="0" collapsed="false">
      <c r="F46" s="55"/>
      <c r="H46" s="57"/>
      <c r="I46" s="28"/>
      <c r="J46" s="53" t="n">
        <f aca="false">SUM(J36:J45)</f>
        <v>120.88833</v>
      </c>
    </row>
    <row r="47" customFormat="false" ht="15" hidden="false" customHeight="false" outlineLevel="0" collapsed="false">
      <c r="B47" s="54" t="s">
        <v>310</v>
      </c>
    </row>
    <row r="48" customFormat="false" ht="15" hidden="false" customHeight="false" outlineLevel="0" collapsed="false">
      <c r="B48" s="1" t="s">
        <v>311</v>
      </c>
      <c r="F48" s="55" t="s">
        <v>312</v>
      </c>
      <c r="H48" s="57" t="n">
        <v>5</v>
      </c>
      <c r="I48" s="28" t="n">
        <f aca="false">J34</f>
        <v>22.626</v>
      </c>
      <c r="J48" s="28" t="n">
        <f aca="false">H48%*I48</f>
        <v>1.1313</v>
      </c>
    </row>
    <row r="49" customFormat="false" ht="15" hidden="false" customHeight="false" outlineLevel="0" collapsed="false">
      <c r="A49" s="60"/>
      <c r="B49" s="60"/>
      <c r="C49" s="60"/>
      <c r="D49" s="60"/>
      <c r="E49" s="60"/>
      <c r="F49" s="60"/>
      <c r="G49" s="60"/>
      <c r="H49" s="60"/>
      <c r="I49" s="60"/>
      <c r="J49" s="61" t="n">
        <f aca="false">SUM(J48)</f>
        <v>1.1313</v>
      </c>
    </row>
    <row r="51" customFormat="false" ht="15" hidden="false" customHeight="false" outlineLevel="0" collapsed="false">
      <c r="A51" s="14" t="s">
        <v>278</v>
      </c>
      <c r="B51" s="14" t="str">
        <f aca="false">PROVISIONALES!A8</f>
        <v>1.1.1.3</v>
      </c>
      <c r="C51" s="14" t="s">
        <v>138</v>
      </c>
      <c r="D51" s="14"/>
      <c r="E51" s="14"/>
      <c r="F51" s="14"/>
      <c r="G51" s="14"/>
      <c r="H51" s="14"/>
      <c r="I51" s="14"/>
    </row>
    <row r="52" customFormat="false" ht="15" hidden="false" customHeight="false" outlineLevel="0" collapsed="false">
      <c r="A52" s="14" t="s">
        <v>279</v>
      </c>
      <c r="B52" s="14" t="s">
        <v>280</v>
      </c>
      <c r="C52" s="36" t="s">
        <v>281</v>
      </c>
      <c r="D52" s="52" t="n">
        <v>35</v>
      </c>
      <c r="E52" s="36" t="s">
        <v>282</v>
      </c>
      <c r="F52" s="52" t="n">
        <f aca="false">D52</f>
        <v>35</v>
      </c>
      <c r="G52" s="14" t="s">
        <v>283</v>
      </c>
      <c r="I52" s="36" t="s">
        <v>150</v>
      </c>
      <c r="J52" s="53" t="n">
        <f aca="false">J58++J70+J73</f>
        <v>148.03953</v>
      </c>
    </row>
    <row r="53" customFormat="false" ht="15" hidden="false" customHeight="false" outlineLevel="0" collapsed="false">
      <c r="A53" s="14" t="s">
        <v>284</v>
      </c>
      <c r="B53" s="14" t="s">
        <v>285</v>
      </c>
      <c r="F53" s="36" t="s">
        <v>123</v>
      </c>
      <c r="G53" s="36" t="s">
        <v>286</v>
      </c>
      <c r="H53" s="36" t="s">
        <v>287</v>
      </c>
      <c r="I53" s="36" t="s">
        <v>288</v>
      </c>
      <c r="J53" s="36" t="s">
        <v>289</v>
      </c>
    </row>
    <row r="54" customFormat="false" ht="15" hidden="false" customHeight="false" outlineLevel="0" collapsed="false">
      <c r="B54" s="54" t="s">
        <v>290</v>
      </c>
    </row>
    <row r="55" customFormat="false" ht="15" hidden="false" customHeight="false" outlineLevel="0" collapsed="false">
      <c r="B55" s="1" t="s">
        <v>291</v>
      </c>
      <c r="F55" s="55" t="s">
        <v>292</v>
      </c>
      <c r="G55" s="56" t="n">
        <v>1</v>
      </c>
      <c r="H55" s="57" t="n">
        <f aca="false">G55*8/$D$52</f>
        <v>0.228571428571429</v>
      </c>
      <c r="I55" s="28" t="n">
        <v>28.94</v>
      </c>
      <c r="J55" s="28" t="n">
        <f aca="false">H55*I55</f>
        <v>6.61485714285714</v>
      </c>
    </row>
    <row r="56" customFormat="false" ht="15" hidden="false" customHeight="false" outlineLevel="0" collapsed="false">
      <c r="B56" s="1" t="s">
        <v>293</v>
      </c>
      <c r="F56" s="55" t="s">
        <v>292</v>
      </c>
      <c r="G56" s="56" t="n">
        <v>1</v>
      </c>
      <c r="H56" s="57" t="n">
        <f aca="false">G56*8/$D$52</f>
        <v>0.228571428571429</v>
      </c>
      <c r="I56" s="28" t="n">
        <v>22.66</v>
      </c>
      <c r="J56" s="28" t="n">
        <f aca="false">H56*I56</f>
        <v>5.17942857142857</v>
      </c>
    </row>
    <row r="57" customFormat="false" ht="15" hidden="false" customHeight="false" outlineLevel="0" collapsed="false">
      <c r="B57" s="1" t="s">
        <v>294</v>
      </c>
      <c r="F57" s="55" t="s">
        <v>292</v>
      </c>
      <c r="G57" s="56" t="n">
        <v>3</v>
      </c>
      <c r="H57" s="57" t="n">
        <f aca="false">G57*8/$D$52</f>
        <v>0.685714285714286</v>
      </c>
      <c r="I57" s="28" t="n">
        <v>20.51</v>
      </c>
      <c r="J57" s="28" t="n">
        <f aca="false">H57*I57</f>
        <v>14.064</v>
      </c>
    </row>
    <row r="58" customFormat="false" ht="15" hidden="false" customHeight="false" outlineLevel="0" collapsed="false">
      <c r="J58" s="53" t="n">
        <f aca="false">SUM(J55:J57)</f>
        <v>25.8582857142857</v>
      </c>
    </row>
    <row r="59" customFormat="false" ht="15" hidden="false" customHeight="false" outlineLevel="0" collapsed="false">
      <c r="B59" s="54" t="s">
        <v>295</v>
      </c>
    </row>
    <row r="60" customFormat="false" ht="15" hidden="false" customHeight="false" outlineLevel="0" collapsed="false">
      <c r="B60" s="1" t="s">
        <v>296</v>
      </c>
      <c r="F60" s="55" t="s">
        <v>297</v>
      </c>
      <c r="G60" s="56"/>
      <c r="H60" s="57" t="n">
        <v>1.25</v>
      </c>
      <c r="I60" s="28" t="n">
        <v>2.64</v>
      </c>
      <c r="J60" s="28" t="n">
        <f aca="false">H60*I60</f>
        <v>3.3</v>
      </c>
    </row>
    <row r="61" customFormat="false" ht="15" hidden="false" customHeight="false" outlineLevel="0" collapsed="false">
      <c r="B61" s="1" t="s">
        <v>298</v>
      </c>
      <c r="F61" s="55" t="s">
        <v>299</v>
      </c>
      <c r="G61" s="56"/>
      <c r="H61" s="57" t="n">
        <v>1.8</v>
      </c>
      <c r="I61" s="1" t="n">
        <v>14.15</v>
      </c>
      <c r="J61" s="28" t="n">
        <f aca="false">H61*I61</f>
        <v>25.47</v>
      </c>
    </row>
    <row r="62" customFormat="false" ht="15" hidden="false" customHeight="false" outlineLevel="0" collapsed="false">
      <c r="B62" s="1" t="s">
        <v>300</v>
      </c>
      <c r="F62" s="55" t="s">
        <v>150</v>
      </c>
      <c r="G62" s="56"/>
      <c r="H62" s="57" t="n">
        <v>0.2</v>
      </c>
      <c r="I62" s="1" t="n">
        <v>55</v>
      </c>
      <c r="J62" s="28" t="n">
        <f aca="false">H62*I62</f>
        <v>11</v>
      </c>
    </row>
    <row r="63" customFormat="false" ht="15" hidden="false" customHeight="false" outlineLevel="0" collapsed="false">
      <c r="B63" s="1" t="s">
        <v>301</v>
      </c>
      <c r="F63" s="55" t="s">
        <v>297</v>
      </c>
      <c r="H63" s="57" t="n">
        <v>0.06</v>
      </c>
      <c r="I63" s="1" t="n">
        <v>10.93</v>
      </c>
      <c r="J63" s="28" t="n">
        <f aca="false">H63*I63</f>
        <v>0.6558</v>
      </c>
    </row>
    <row r="64" customFormat="false" ht="15" hidden="false" customHeight="false" outlineLevel="0" collapsed="false">
      <c r="B64" s="1" t="s">
        <v>302</v>
      </c>
      <c r="F64" s="55" t="s">
        <v>297</v>
      </c>
      <c r="H64" s="57" t="n">
        <v>0.071</v>
      </c>
      <c r="I64" s="28" t="n">
        <v>5.51</v>
      </c>
      <c r="J64" s="28" t="n">
        <f aca="false">H64*I64</f>
        <v>0.39121</v>
      </c>
    </row>
    <row r="65" customFormat="false" ht="15" hidden="false" customHeight="false" outlineLevel="0" collapsed="false">
      <c r="B65" s="1" t="s">
        <v>303</v>
      </c>
      <c r="F65" s="55" t="s">
        <v>204</v>
      </c>
      <c r="H65" s="57" t="n">
        <v>0.19</v>
      </c>
      <c r="I65" s="28" t="n">
        <v>70.92</v>
      </c>
      <c r="J65" s="28" t="n">
        <f aca="false">H65*I65</f>
        <v>13.4748</v>
      </c>
    </row>
    <row r="66" customFormat="false" ht="15" hidden="false" customHeight="false" outlineLevel="0" collapsed="false">
      <c r="B66" s="1" t="s">
        <v>304</v>
      </c>
      <c r="F66" s="55" t="s">
        <v>299</v>
      </c>
      <c r="H66" s="57" t="n">
        <v>0.53</v>
      </c>
      <c r="I66" s="1" t="n">
        <v>27.88</v>
      </c>
      <c r="J66" s="28" t="n">
        <f aca="false">H66*I66</f>
        <v>14.7764</v>
      </c>
    </row>
    <row r="67" customFormat="false" ht="15" hidden="false" customHeight="false" outlineLevel="0" collapsed="false">
      <c r="B67" s="1" t="s">
        <v>305</v>
      </c>
      <c r="F67" s="55" t="s">
        <v>306</v>
      </c>
      <c r="H67" s="57" t="n">
        <v>0.2374</v>
      </c>
      <c r="I67" s="1" t="n">
        <v>32.2</v>
      </c>
      <c r="J67" s="28" t="n">
        <f aca="false">H67*I67</f>
        <v>7.64428</v>
      </c>
    </row>
    <row r="68" customFormat="false" ht="15" hidden="false" customHeight="false" outlineLevel="0" collapsed="false">
      <c r="B68" s="1" t="s">
        <v>307</v>
      </c>
      <c r="F68" s="55" t="s">
        <v>308</v>
      </c>
      <c r="H68" s="57" t="n">
        <v>1.092</v>
      </c>
      <c r="I68" s="28" t="n">
        <v>24.52</v>
      </c>
      <c r="J68" s="28" t="n">
        <f aca="false">H68*I68</f>
        <v>26.77584</v>
      </c>
    </row>
    <row r="69" customFormat="false" ht="15" hidden="false" customHeight="false" outlineLevel="0" collapsed="false">
      <c r="B69" s="1" t="s">
        <v>309</v>
      </c>
      <c r="F69" s="55" t="s">
        <v>306</v>
      </c>
      <c r="H69" s="57" t="n">
        <v>3</v>
      </c>
      <c r="I69" s="28" t="n">
        <v>5.8</v>
      </c>
      <c r="J69" s="28" t="n">
        <f aca="false">H69*I69</f>
        <v>17.4</v>
      </c>
    </row>
    <row r="70" customFormat="false" ht="15" hidden="false" customHeight="false" outlineLevel="0" collapsed="false">
      <c r="F70" s="55"/>
      <c r="H70" s="57"/>
      <c r="I70" s="28"/>
      <c r="J70" s="53" t="n">
        <f aca="false">SUM(J60:J69)</f>
        <v>120.88833</v>
      </c>
    </row>
    <row r="71" customFormat="false" ht="15" hidden="false" customHeight="false" outlineLevel="0" collapsed="false">
      <c r="B71" s="54" t="s">
        <v>310</v>
      </c>
    </row>
    <row r="72" customFormat="false" ht="15" hidden="false" customHeight="false" outlineLevel="0" collapsed="false">
      <c r="B72" s="1" t="s">
        <v>311</v>
      </c>
      <c r="F72" s="55" t="s">
        <v>312</v>
      </c>
      <c r="H72" s="57" t="n">
        <v>5</v>
      </c>
      <c r="I72" s="28" t="n">
        <f aca="false">J58</f>
        <v>25.8582857142857</v>
      </c>
      <c r="J72" s="28" t="n">
        <f aca="false">H72%*I72</f>
        <v>1.29291428571429</v>
      </c>
    </row>
    <row r="73" customFormat="false" ht="15" hidden="false" customHeight="false" outlineLevel="0" collapsed="false">
      <c r="A73" s="60"/>
      <c r="B73" s="60"/>
      <c r="C73" s="60"/>
      <c r="D73" s="60"/>
      <c r="E73" s="60"/>
      <c r="F73" s="60"/>
      <c r="G73" s="60"/>
      <c r="H73" s="60"/>
      <c r="I73" s="60"/>
      <c r="J73" s="61" t="n">
        <f aca="false">SUM(J72)</f>
        <v>1.29291428571429</v>
      </c>
    </row>
    <row r="74" customFormat="false" ht="15" hidden="false" customHeight="false" outlineLevel="0" collapsed="false">
      <c r="J74" s="53"/>
    </row>
    <row r="75" customFormat="false" ht="15" hidden="false" customHeight="false" outlineLevel="0" collapsed="false">
      <c r="A75" s="14" t="s">
        <v>278</v>
      </c>
      <c r="B75" s="14" t="str">
        <f aca="false">PROVISIONALES!A9</f>
        <v>1.1.1.4</v>
      </c>
      <c r="C75" s="14" t="s">
        <v>140</v>
      </c>
      <c r="D75" s="14"/>
      <c r="E75" s="14"/>
      <c r="F75" s="14"/>
      <c r="G75" s="14"/>
      <c r="H75" s="14"/>
      <c r="I75" s="14"/>
    </row>
    <row r="76" customFormat="false" ht="15" hidden="false" customHeight="false" outlineLevel="0" collapsed="false">
      <c r="A76" s="14" t="s">
        <v>279</v>
      </c>
      <c r="B76" s="14" t="s">
        <v>280</v>
      </c>
      <c r="C76" s="36" t="s">
        <v>281</v>
      </c>
      <c r="D76" s="52" t="n">
        <v>30</v>
      </c>
      <c r="E76" s="36" t="s">
        <v>282</v>
      </c>
      <c r="F76" s="52" t="n">
        <f aca="false">D76</f>
        <v>30</v>
      </c>
      <c r="G76" s="14" t="s">
        <v>283</v>
      </c>
      <c r="I76" s="36" t="s">
        <v>150</v>
      </c>
      <c r="J76" s="53" t="n">
        <f aca="false">J82++J94+J97</f>
        <v>152.56473</v>
      </c>
    </row>
    <row r="77" customFormat="false" ht="15" hidden="false" customHeight="false" outlineLevel="0" collapsed="false">
      <c r="A77" s="14" t="s">
        <v>284</v>
      </c>
      <c r="B77" s="14" t="s">
        <v>285</v>
      </c>
      <c r="F77" s="36" t="s">
        <v>123</v>
      </c>
      <c r="G77" s="36" t="s">
        <v>286</v>
      </c>
      <c r="H77" s="36" t="s">
        <v>287</v>
      </c>
      <c r="I77" s="36" t="s">
        <v>288</v>
      </c>
      <c r="J77" s="36" t="s">
        <v>289</v>
      </c>
    </row>
    <row r="78" customFormat="false" ht="15" hidden="false" customHeight="false" outlineLevel="0" collapsed="false">
      <c r="B78" s="54" t="s">
        <v>290</v>
      </c>
    </row>
    <row r="79" customFormat="false" ht="15" hidden="false" customHeight="false" outlineLevel="0" collapsed="false">
      <c r="B79" s="1" t="s">
        <v>291</v>
      </c>
      <c r="F79" s="55" t="s">
        <v>292</v>
      </c>
      <c r="G79" s="56" t="n">
        <v>1</v>
      </c>
      <c r="H79" s="57" t="n">
        <f aca="false">G79*8/$D$76</f>
        <v>0.266666666666667</v>
      </c>
      <c r="I79" s="28" t="n">
        <v>28.94</v>
      </c>
      <c r="J79" s="28" t="n">
        <f aca="false">H79*I79</f>
        <v>7.71733333333333</v>
      </c>
    </row>
    <row r="80" customFormat="false" ht="15" hidden="false" customHeight="false" outlineLevel="0" collapsed="false">
      <c r="B80" s="1" t="s">
        <v>293</v>
      </c>
      <c r="F80" s="55" t="s">
        <v>292</v>
      </c>
      <c r="G80" s="56" t="n">
        <v>1</v>
      </c>
      <c r="H80" s="57" t="n">
        <f aca="false">G80*8/$D$76</f>
        <v>0.266666666666667</v>
      </c>
      <c r="I80" s="28" t="n">
        <v>22.66</v>
      </c>
      <c r="J80" s="28" t="n">
        <f aca="false">H80*I80</f>
        <v>6.04266666666667</v>
      </c>
    </row>
    <row r="81" customFormat="false" ht="15" hidden="false" customHeight="false" outlineLevel="0" collapsed="false">
      <c r="B81" s="1" t="s">
        <v>294</v>
      </c>
      <c r="F81" s="55" t="s">
        <v>292</v>
      </c>
      <c r="G81" s="56" t="n">
        <v>3</v>
      </c>
      <c r="H81" s="57" t="n">
        <f aca="false">G81*8/$D$76</f>
        <v>0.8</v>
      </c>
      <c r="I81" s="28" t="n">
        <v>20.51</v>
      </c>
      <c r="J81" s="28" t="n">
        <f aca="false">H81*I81</f>
        <v>16.408</v>
      </c>
    </row>
    <row r="82" customFormat="false" ht="15" hidden="false" customHeight="false" outlineLevel="0" collapsed="false">
      <c r="J82" s="53" t="n">
        <f aca="false">SUM(J79:J81)</f>
        <v>30.168</v>
      </c>
    </row>
    <row r="83" customFormat="false" ht="15" hidden="false" customHeight="false" outlineLevel="0" collapsed="false">
      <c r="B83" s="54" t="s">
        <v>295</v>
      </c>
    </row>
    <row r="84" customFormat="false" ht="15" hidden="false" customHeight="false" outlineLevel="0" collapsed="false">
      <c r="B84" s="1" t="s">
        <v>296</v>
      </c>
      <c r="F84" s="55" t="s">
        <v>297</v>
      </c>
      <c r="G84" s="56"/>
      <c r="H84" s="57" t="n">
        <v>1.25</v>
      </c>
      <c r="I84" s="28" t="n">
        <v>2.64</v>
      </c>
      <c r="J84" s="28" t="n">
        <f aca="false">H84*I84</f>
        <v>3.3</v>
      </c>
    </row>
    <row r="85" customFormat="false" ht="15" hidden="false" customHeight="false" outlineLevel="0" collapsed="false">
      <c r="B85" s="1" t="s">
        <v>298</v>
      </c>
      <c r="F85" s="55" t="s">
        <v>299</v>
      </c>
      <c r="G85" s="56"/>
      <c r="H85" s="57" t="n">
        <v>1.8</v>
      </c>
      <c r="I85" s="1" t="n">
        <v>14.15</v>
      </c>
      <c r="J85" s="28" t="n">
        <f aca="false">H85*I85</f>
        <v>25.47</v>
      </c>
    </row>
    <row r="86" customFormat="false" ht="15" hidden="false" customHeight="false" outlineLevel="0" collapsed="false">
      <c r="B86" s="1" t="s">
        <v>300</v>
      </c>
      <c r="F86" s="55" t="s">
        <v>150</v>
      </c>
      <c r="G86" s="56"/>
      <c r="H86" s="57" t="n">
        <v>0.2</v>
      </c>
      <c r="I86" s="1" t="n">
        <v>55</v>
      </c>
      <c r="J86" s="28" t="n">
        <f aca="false">H86*I86</f>
        <v>11</v>
      </c>
    </row>
    <row r="87" customFormat="false" ht="15" hidden="false" customHeight="false" outlineLevel="0" collapsed="false">
      <c r="B87" s="1" t="s">
        <v>301</v>
      </c>
      <c r="F87" s="55" t="s">
        <v>297</v>
      </c>
      <c r="H87" s="57" t="n">
        <v>0.06</v>
      </c>
      <c r="I87" s="1" t="n">
        <v>10.93</v>
      </c>
      <c r="J87" s="28" t="n">
        <f aca="false">H87*I87</f>
        <v>0.6558</v>
      </c>
    </row>
    <row r="88" customFormat="false" ht="15" hidden="false" customHeight="false" outlineLevel="0" collapsed="false">
      <c r="B88" s="1" t="s">
        <v>302</v>
      </c>
      <c r="F88" s="55" t="s">
        <v>297</v>
      </c>
      <c r="H88" s="57" t="n">
        <v>0.071</v>
      </c>
      <c r="I88" s="28" t="n">
        <v>5.51</v>
      </c>
      <c r="J88" s="28" t="n">
        <f aca="false">H88*I88</f>
        <v>0.39121</v>
      </c>
    </row>
    <row r="89" customFormat="false" ht="15" hidden="false" customHeight="false" outlineLevel="0" collapsed="false">
      <c r="B89" s="1" t="s">
        <v>303</v>
      </c>
      <c r="F89" s="55" t="s">
        <v>204</v>
      </c>
      <c r="H89" s="57" t="n">
        <v>0.19</v>
      </c>
      <c r="I89" s="28" t="n">
        <v>70.92</v>
      </c>
      <c r="J89" s="28" t="n">
        <f aca="false">H89*I89</f>
        <v>13.4748</v>
      </c>
    </row>
    <row r="90" customFormat="false" ht="15" hidden="false" customHeight="false" outlineLevel="0" collapsed="false">
      <c r="B90" s="1" t="s">
        <v>304</v>
      </c>
      <c r="F90" s="55" t="s">
        <v>299</v>
      </c>
      <c r="H90" s="57" t="n">
        <v>0.53</v>
      </c>
      <c r="I90" s="1" t="n">
        <v>27.88</v>
      </c>
      <c r="J90" s="28" t="n">
        <f aca="false">H90*I90</f>
        <v>14.7764</v>
      </c>
    </row>
    <row r="91" customFormat="false" ht="15" hidden="false" customHeight="false" outlineLevel="0" collapsed="false">
      <c r="B91" s="1" t="s">
        <v>305</v>
      </c>
      <c r="F91" s="55" t="s">
        <v>306</v>
      </c>
      <c r="H91" s="57" t="n">
        <v>0.2374</v>
      </c>
      <c r="I91" s="1" t="n">
        <v>32.2</v>
      </c>
      <c r="J91" s="28" t="n">
        <f aca="false">H91*I91</f>
        <v>7.64428</v>
      </c>
    </row>
    <row r="92" customFormat="false" ht="15" hidden="false" customHeight="false" outlineLevel="0" collapsed="false">
      <c r="B92" s="1" t="s">
        <v>307</v>
      </c>
      <c r="F92" s="55" t="s">
        <v>308</v>
      </c>
      <c r="H92" s="57" t="n">
        <v>1.092</v>
      </c>
      <c r="I92" s="28" t="n">
        <v>24.52</v>
      </c>
      <c r="J92" s="28" t="n">
        <f aca="false">H92*I92</f>
        <v>26.77584</v>
      </c>
    </row>
    <row r="93" customFormat="false" ht="15" hidden="false" customHeight="false" outlineLevel="0" collapsed="false">
      <c r="B93" s="1" t="s">
        <v>309</v>
      </c>
      <c r="F93" s="55" t="s">
        <v>306</v>
      </c>
      <c r="H93" s="57" t="n">
        <v>3</v>
      </c>
      <c r="I93" s="28" t="n">
        <v>5.8</v>
      </c>
      <c r="J93" s="28" t="n">
        <f aca="false">H93*I93</f>
        <v>17.4</v>
      </c>
    </row>
    <row r="94" customFormat="false" ht="15" hidden="false" customHeight="false" outlineLevel="0" collapsed="false">
      <c r="F94" s="55"/>
      <c r="H94" s="57"/>
      <c r="I94" s="28"/>
      <c r="J94" s="53" t="n">
        <f aca="false">SUM(J84:J93)</f>
        <v>120.88833</v>
      </c>
    </row>
    <row r="95" customFormat="false" ht="15" hidden="false" customHeight="false" outlineLevel="0" collapsed="false">
      <c r="B95" s="54" t="s">
        <v>310</v>
      </c>
    </row>
    <row r="96" customFormat="false" ht="15" hidden="false" customHeight="false" outlineLevel="0" collapsed="false">
      <c r="B96" s="1" t="s">
        <v>311</v>
      </c>
      <c r="F96" s="55" t="s">
        <v>312</v>
      </c>
      <c r="H96" s="57" t="n">
        <v>5</v>
      </c>
      <c r="I96" s="28" t="n">
        <f aca="false">J82</f>
        <v>30.168</v>
      </c>
      <c r="J96" s="28" t="n">
        <f aca="false">H96%*I96</f>
        <v>1.5084</v>
      </c>
    </row>
    <row r="97" customFormat="false" ht="15" hidden="false" customHeight="false" outlineLevel="0" collapsed="false">
      <c r="A97" s="60"/>
      <c r="B97" s="60"/>
      <c r="C97" s="60"/>
      <c r="D97" s="60"/>
      <c r="E97" s="60"/>
      <c r="F97" s="60"/>
      <c r="G97" s="60"/>
      <c r="H97" s="60"/>
      <c r="I97" s="60"/>
      <c r="J97" s="61" t="n">
        <f aca="false">SUM(J96)</f>
        <v>1.5084</v>
      </c>
    </row>
    <row r="99" customFormat="false" ht="15" hidden="false" customHeight="false" outlineLevel="0" collapsed="false">
      <c r="A99" s="14" t="s">
        <v>278</v>
      </c>
      <c r="B99" s="14" t="str">
        <f aca="false">PROVISIONALES!A10</f>
        <v>1.1.1.5</v>
      </c>
      <c r="C99" s="14" t="s">
        <v>142</v>
      </c>
      <c r="D99" s="14"/>
      <c r="E99" s="14"/>
      <c r="F99" s="14"/>
      <c r="G99" s="14"/>
      <c r="H99" s="14"/>
      <c r="I99" s="14"/>
    </row>
    <row r="100" customFormat="false" ht="15" hidden="false" customHeight="false" outlineLevel="0" collapsed="false">
      <c r="A100" s="14" t="s">
        <v>279</v>
      </c>
      <c r="B100" s="14" t="s">
        <v>280</v>
      </c>
      <c r="C100" s="36" t="s">
        <v>281</v>
      </c>
      <c r="D100" s="52" t="n">
        <v>32</v>
      </c>
      <c r="E100" s="36" t="s">
        <v>282</v>
      </c>
      <c r="F100" s="52" t="n">
        <f aca="false">D100</f>
        <v>32</v>
      </c>
      <c r="G100" s="14" t="s">
        <v>283</v>
      </c>
      <c r="I100" s="36" t="s">
        <v>150</v>
      </c>
      <c r="J100" s="53" t="n">
        <f aca="false">J106++J118+J121</f>
        <v>206.192765</v>
      </c>
    </row>
    <row r="101" customFormat="false" ht="15" hidden="false" customHeight="false" outlineLevel="0" collapsed="false">
      <c r="A101" s="14" t="s">
        <v>284</v>
      </c>
      <c r="B101" s="14" t="s">
        <v>285</v>
      </c>
      <c r="F101" s="36" t="s">
        <v>123</v>
      </c>
      <c r="G101" s="36" t="s">
        <v>286</v>
      </c>
      <c r="H101" s="36" t="s">
        <v>287</v>
      </c>
      <c r="I101" s="36" t="s">
        <v>288</v>
      </c>
      <c r="J101" s="36" t="s">
        <v>289</v>
      </c>
    </row>
    <row r="102" customFormat="false" ht="15" hidden="false" customHeight="false" outlineLevel="0" collapsed="false">
      <c r="B102" s="54" t="s">
        <v>290</v>
      </c>
    </row>
    <row r="103" customFormat="false" ht="15" hidden="false" customHeight="false" outlineLevel="0" collapsed="false">
      <c r="B103" s="1" t="s">
        <v>291</v>
      </c>
      <c r="F103" s="55" t="s">
        <v>292</v>
      </c>
      <c r="G103" s="56" t="n">
        <v>1</v>
      </c>
      <c r="H103" s="57" t="n">
        <f aca="false">G103*8/$D$100</f>
        <v>0.25</v>
      </c>
      <c r="I103" s="28" t="n">
        <v>28.94</v>
      </c>
      <c r="J103" s="28" t="n">
        <f aca="false">H103*I103</f>
        <v>7.235</v>
      </c>
    </row>
    <row r="104" customFormat="false" ht="15" hidden="false" customHeight="false" outlineLevel="0" collapsed="false">
      <c r="B104" s="1" t="s">
        <v>293</v>
      </c>
      <c r="F104" s="55" t="s">
        <v>292</v>
      </c>
      <c r="G104" s="56" t="n">
        <v>1</v>
      </c>
      <c r="H104" s="57" t="n">
        <f aca="false">G104*8/$D$100</f>
        <v>0.25</v>
      </c>
      <c r="I104" s="28" t="n">
        <v>22.66</v>
      </c>
      <c r="J104" s="28" t="n">
        <f aca="false">H104*I104</f>
        <v>5.665</v>
      </c>
    </row>
    <row r="105" customFormat="false" ht="15" hidden="false" customHeight="false" outlineLevel="0" collapsed="false">
      <c r="B105" s="1" t="s">
        <v>294</v>
      </c>
      <c r="F105" s="55" t="s">
        <v>292</v>
      </c>
      <c r="G105" s="56" t="n">
        <v>3</v>
      </c>
      <c r="H105" s="57" t="n">
        <f aca="false">G105*8/$D$100</f>
        <v>0.75</v>
      </c>
      <c r="I105" s="28" t="n">
        <v>20.51</v>
      </c>
      <c r="J105" s="28" t="n">
        <f aca="false">H105*I105</f>
        <v>15.3825</v>
      </c>
    </row>
    <row r="106" customFormat="false" ht="15" hidden="false" customHeight="false" outlineLevel="0" collapsed="false">
      <c r="J106" s="53" t="n">
        <f aca="false">SUM(J103:J105)</f>
        <v>28.2825</v>
      </c>
    </row>
    <row r="107" customFormat="false" ht="15" hidden="false" customHeight="false" outlineLevel="0" collapsed="false">
      <c r="B107" s="54" t="s">
        <v>295</v>
      </c>
    </row>
    <row r="108" customFormat="false" ht="15" hidden="false" customHeight="false" outlineLevel="0" collapsed="false">
      <c r="B108" s="1" t="s">
        <v>296</v>
      </c>
      <c r="F108" s="55" t="s">
        <v>297</v>
      </c>
      <c r="G108" s="56"/>
      <c r="H108" s="57" t="n">
        <v>1.25</v>
      </c>
      <c r="I108" s="28" t="n">
        <v>2.64</v>
      </c>
      <c r="J108" s="28" t="n">
        <f aca="false">H108*I108</f>
        <v>3.3</v>
      </c>
    </row>
    <row r="109" customFormat="false" ht="15" hidden="false" customHeight="false" outlineLevel="0" collapsed="false">
      <c r="B109" s="1" t="s">
        <v>298</v>
      </c>
      <c r="F109" s="55" t="s">
        <v>299</v>
      </c>
      <c r="G109" s="56"/>
      <c r="H109" s="57" t="n">
        <v>1.8</v>
      </c>
      <c r="I109" s="1" t="n">
        <v>14.15</v>
      </c>
      <c r="J109" s="28" t="n">
        <f aca="false">H109*I109</f>
        <v>25.47</v>
      </c>
    </row>
    <row r="110" customFormat="false" ht="15" hidden="false" customHeight="false" outlineLevel="0" collapsed="false">
      <c r="B110" s="1" t="s">
        <v>300</v>
      </c>
      <c r="F110" s="55" t="s">
        <v>150</v>
      </c>
      <c r="G110" s="56"/>
      <c r="H110" s="57" t="n">
        <v>0.2</v>
      </c>
      <c r="I110" s="1" t="n">
        <v>55</v>
      </c>
      <c r="J110" s="28" t="n">
        <f aca="false">H110*I110</f>
        <v>11</v>
      </c>
    </row>
    <row r="111" customFormat="false" ht="15" hidden="false" customHeight="false" outlineLevel="0" collapsed="false">
      <c r="B111" s="1" t="s">
        <v>301</v>
      </c>
      <c r="F111" s="55" t="s">
        <v>297</v>
      </c>
      <c r="H111" s="57" t="n">
        <v>0.12</v>
      </c>
      <c r="I111" s="1" t="n">
        <v>10.93</v>
      </c>
      <c r="J111" s="28" t="n">
        <f aca="false">H111*I111</f>
        <v>1.3116</v>
      </c>
    </row>
    <row r="112" customFormat="false" ht="15" hidden="false" customHeight="false" outlineLevel="0" collapsed="false">
      <c r="B112" s="1" t="s">
        <v>302</v>
      </c>
      <c r="F112" s="55" t="s">
        <v>297</v>
      </c>
      <c r="H112" s="57" t="n">
        <v>0.05</v>
      </c>
      <c r="I112" s="28" t="n">
        <v>5.51</v>
      </c>
      <c r="J112" s="28" t="n">
        <f aca="false">H112*I112</f>
        <v>0.2755</v>
      </c>
    </row>
    <row r="113" customFormat="false" ht="15" hidden="false" customHeight="false" outlineLevel="0" collapsed="false">
      <c r="B113" s="1" t="s">
        <v>313</v>
      </c>
      <c r="F113" s="55" t="s">
        <v>150</v>
      </c>
      <c r="H113" s="1" t="n">
        <v>0.04</v>
      </c>
      <c r="I113" s="1" t="n">
        <v>1567.8</v>
      </c>
      <c r="J113" s="28" t="n">
        <f aca="false">H113*I113</f>
        <v>62.712</v>
      </c>
    </row>
    <row r="114" customFormat="false" ht="15" hidden="false" customHeight="false" outlineLevel="0" collapsed="false">
      <c r="B114" s="1" t="s">
        <v>303</v>
      </c>
      <c r="F114" s="55" t="s">
        <v>204</v>
      </c>
      <c r="H114" s="57" t="n">
        <v>0.19</v>
      </c>
      <c r="I114" s="28" t="n">
        <v>70.92</v>
      </c>
      <c r="J114" s="28" t="n">
        <f aca="false">H114*I114</f>
        <v>13.4748</v>
      </c>
    </row>
    <row r="115" customFormat="false" ht="15" hidden="false" customHeight="false" outlineLevel="0" collapsed="false">
      <c r="B115" s="1" t="s">
        <v>304</v>
      </c>
      <c r="F115" s="55" t="s">
        <v>299</v>
      </c>
      <c r="H115" s="57" t="n">
        <v>0.53</v>
      </c>
      <c r="I115" s="1" t="n">
        <v>27.88</v>
      </c>
      <c r="J115" s="28" t="n">
        <f aca="false">H115*I115</f>
        <v>14.7764</v>
      </c>
    </row>
    <row r="116" customFormat="false" ht="15" hidden="false" customHeight="false" outlineLevel="0" collapsed="false">
      <c r="B116" s="1" t="s">
        <v>307</v>
      </c>
      <c r="F116" s="55" t="s">
        <v>308</v>
      </c>
      <c r="H116" s="57" t="n">
        <v>1.092</v>
      </c>
      <c r="I116" s="28" t="n">
        <v>24.52</v>
      </c>
      <c r="J116" s="28" t="n">
        <f aca="false">H116*I116</f>
        <v>26.77584</v>
      </c>
    </row>
    <row r="117" customFormat="false" ht="15" hidden="false" customHeight="false" outlineLevel="0" collapsed="false">
      <c r="B117" s="1" t="s">
        <v>309</v>
      </c>
      <c r="F117" s="55" t="s">
        <v>306</v>
      </c>
      <c r="H117" s="57" t="n">
        <v>3</v>
      </c>
      <c r="I117" s="28" t="n">
        <v>5.8</v>
      </c>
      <c r="J117" s="28" t="n">
        <f aca="false">H117*I117</f>
        <v>17.4</v>
      </c>
    </row>
    <row r="118" customFormat="false" ht="15" hidden="false" customHeight="false" outlineLevel="0" collapsed="false">
      <c r="F118" s="55"/>
      <c r="H118" s="57"/>
      <c r="I118" s="28"/>
      <c r="J118" s="53" t="n">
        <f aca="false">SUM(J108:J117)</f>
        <v>176.49614</v>
      </c>
    </row>
    <row r="119" customFormat="false" ht="15" hidden="false" customHeight="false" outlineLevel="0" collapsed="false">
      <c r="B119" s="54" t="s">
        <v>310</v>
      </c>
    </row>
    <row r="120" customFormat="false" ht="15" hidden="false" customHeight="false" outlineLevel="0" collapsed="false">
      <c r="B120" s="1" t="s">
        <v>311</v>
      </c>
      <c r="F120" s="55" t="s">
        <v>312</v>
      </c>
      <c r="H120" s="57" t="n">
        <v>5</v>
      </c>
      <c r="I120" s="28" t="n">
        <f aca="false">J106</f>
        <v>28.2825</v>
      </c>
      <c r="J120" s="28" t="n">
        <f aca="false">H120%*I120</f>
        <v>1.414125</v>
      </c>
    </row>
    <row r="121" customFormat="false" ht="15" hidden="false" customHeight="false" outlineLevel="0" collapsed="false">
      <c r="A121" s="60"/>
      <c r="B121" s="60"/>
      <c r="C121" s="60"/>
      <c r="D121" s="60"/>
      <c r="E121" s="60"/>
      <c r="F121" s="60"/>
      <c r="G121" s="60"/>
      <c r="H121" s="60"/>
      <c r="I121" s="60"/>
      <c r="J121" s="61" t="n">
        <f aca="false">SUM(J120)</f>
        <v>1.414125</v>
      </c>
    </row>
    <row r="123" customFormat="false" ht="15" hidden="false" customHeight="false" outlineLevel="0" collapsed="false">
      <c r="A123" s="14" t="s">
        <v>278</v>
      </c>
      <c r="B123" s="14" t="str">
        <f aca="false">PROVISIONALES!A11</f>
        <v>1.1.1.6</v>
      </c>
      <c r="C123" s="14" t="s">
        <v>144</v>
      </c>
      <c r="D123" s="14"/>
      <c r="E123" s="14"/>
      <c r="F123" s="14"/>
      <c r="G123" s="14"/>
      <c r="H123" s="14"/>
      <c r="I123" s="14"/>
    </row>
    <row r="124" customFormat="false" ht="15" hidden="false" customHeight="false" outlineLevel="0" collapsed="false">
      <c r="A124" s="14" t="s">
        <v>279</v>
      </c>
      <c r="B124" s="14" t="s">
        <v>314</v>
      </c>
      <c r="C124" s="36" t="s">
        <v>281</v>
      </c>
      <c r="D124" s="52" t="n">
        <v>30</v>
      </c>
      <c r="E124" s="36" t="s">
        <v>282</v>
      </c>
      <c r="F124" s="52" t="n">
        <f aca="false">D124</f>
        <v>30</v>
      </c>
      <c r="G124" s="14" t="s">
        <v>283</v>
      </c>
      <c r="I124" s="36" t="s">
        <v>145</v>
      </c>
      <c r="J124" s="53" t="n">
        <f aca="false">J129+J134+J137</f>
        <v>44.0695466666667</v>
      </c>
    </row>
    <row r="125" customFormat="false" ht="15" hidden="false" customHeight="false" outlineLevel="0" collapsed="false">
      <c r="A125" s="14" t="s">
        <v>284</v>
      </c>
      <c r="B125" s="14" t="s">
        <v>285</v>
      </c>
      <c r="F125" s="36" t="s">
        <v>123</v>
      </c>
      <c r="G125" s="36" t="s">
        <v>286</v>
      </c>
      <c r="H125" s="36" t="s">
        <v>287</v>
      </c>
      <c r="I125" s="36" t="s">
        <v>288</v>
      </c>
      <c r="J125" s="36" t="s">
        <v>289</v>
      </c>
    </row>
    <row r="126" customFormat="false" ht="15" hidden="false" customHeight="false" outlineLevel="0" collapsed="false">
      <c r="B126" s="54" t="s">
        <v>290</v>
      </c>
    </row>
    <row r="127" customFormat="false" ht="15" hidden="false" customHeight="false" outlineLevel="0" collapsed="false">
      <c r="B127" s="1" t="s">
        <v>293</v>
      </c>
      <c r="F127" s="55" t="s">
        <v>292</v>
      </c>
      <c r="G127" s="56" t="n">
        <v>1</v>
      </c>
      <c r="H127" s="57" t="n">
        <f aca="false">G127*8/$D$124</f>
        <v>0.266666666666667</v>
      </c>
      <c r="I127" s="28" t="n">
        <v>23.6</v>
      </c>
      <c r="J127" s="28" t="n">
        <f aca="false">H127*I127</f>
        <v>6.29333333333333</v>
      </c>
    </row>
    <row r="128" customFormat="false" ht="15" hidden="false" customHeight="false" outlineLevel="0" collapsed="false">
      <c r="B128" s="1" t="s">
        <v>294</v>
      </c>
      <c r="F128" s="55" t="s">
        <v>292</v>
      </c>
      <c r="G128" s="56" t="n">
        <v>1</v>
      </c>
      <c r="H128" s="57" t="n">
        <f aca="false">G128*8/$D$124</f>
        <v>0.266666666666667</v>
      </c>
      <c r="I128" s="28" t="n">
        <v>20.51</v>
      </c>
      <c r="J128" s="28" t="n">
        <f aca="false">H128*I128</f>
        <v>5.46933333333333</v>
      </c>
    </row>
    <row r="129" customFormat="false" ht="15" hidden="false" customHeight="false" outlineLevel="0" collapsed="false">
      <c r="J129" s="53" t="n">
        <f aca="false">SUM(J127:J128)</f>
        <v>11.7626666666667</v>
      </c>
    </row>
    <row r="130" customFormat="false" ht="15" hidden="false" customHeight="false" outlineLevel="0" collapsed="false">
      <c r="B130" s="54" t="s">
        <v>295</v>
      </c>
    </row>
    <row r="131" customFormat="false" ht="15" hidden="false" customHeight="false" outlineLevel="0" collapsed="false">
      <c r="B131" s="1" t="s">
        <v>315</v>
      </c>
      <c r="F131" s="55" t="s">
        <v>316</v>
      </c>
      <c r="G131" s="56"/>
      <c r="H131" s="57" t="n">
        <v>1</v>
      </c>
      <c r="I131" s="28" t="n">
        <v>8.5</v>
      </c>
      <c r="J131" s="28" t="n">
        <f aca="false">H131*I131</f>
        <v>8.5</v>
      </c>
    </row>
    <row r="132" customFormat="false" ht="15" hidden="false" customHeight="false" outlineLevel="0" collapsed="false">
      <c r="B132" s="1" t="s">
        <v>317</v>
      </c>
      <c r="F132" s="55" t="s">
        <v>297</v>
      </c>
      <c r="G132" s="56"/>
      <c r="H132" s="57" t="n">
        <v>0.05</v>
      </c>
      <c r="I132" s="28" t="n">
        <v>5.08</v>
      </c>
      <c r="J132" s="28" t="n">
        <f aca="false">H132*I132</f>
        <v>0.254</v>
      </c>
    </row>
    <row r="133" customFormat="false" ht="15" hidden="false" customHeight="false" outlineLevel="0" collapsed="false">
      <c r="B133" s="1" t="s">
        <v>309</v>
      </c>
      <c r="F133" s="55" t="s">
        <v>306</v>
      </c>
      <c r="H133" s="57" t="n">
        <v>4</v>
      </c>
      <c r="I133" s="28" t="n">
        <v>5.8</v>
      </c>
      <c r="J133" s="28" t="n">
        <f aca="false">H133*I133</f>
        <v>23.2</v>
      </c>
    </row>
    <row r="134" customFormat="false" ht="15" hidden="false" customHeight="false" outlineLevel="0" collapsed="false">
      <c r="J134" s="53" t="n">
        <f aca="false">SUM(J131:J133)</f>
        <v>31.954</v>
      </c>
    </row>
    <row r="135" customFormat="false" ht="15" hidden="false" customHeight="false" outlineLevel="0" collapsed="false">
      <c r="B135" s="54" t="s">
        <v>318</v>
      </c>
    </row>
    <row r="136" customFormat="false" ht="15" hidden="false" customHeight="false" outlineLevel="0" collapsed="false">
      <c r="B136" s="1" t="s">
        <v>311</v>
      </c>
      <c r="F136" s="55" t="s">
        <v>312</v>
      </c>
      <c r="H136" s="57" t="n">
        <v>3</v>
      </c>
      <c r="I136" s="28" t="n">
        <f aca="false">J129</f>
        <v>11.7626666666667</v>
      </c>
      <c r="J136" s="28" t="n">
        <f aca="false">H136%*I136</f>
        <v>0.35288</v>
      </c>
    </row>
    <row r="137" customFormat="false" ht="15" hidden="false" customHeight="false" outlineLevel="0" collapsed="false">
      <c r="A137" s="60"/>
      <c r="B137" s="60"/>
      <c r="C137" s="60"/>
      <c r="D137" s="60"/>
      <c r="E137" s="60"/>
      <c r="F137" s="62"/>
      <c r="G137" s="63"/>
      <c r="H137" s="64"/>
      <c r="I137" s="65"/>
      <c r="J137" s="61" t="n">
        <f aca="false">SUM(J136)</f>
        <v>0.35288</v>
      </c>
    </row>
    <row r="139" customFormat="false" ht="15" hidden="false" customHeight="false" outlineLevel="0" collapsed="false">
      <c r="A139" s="14" t="s">
        <v>278</v>
      </c>
      <c r="B139" s="14" t="str">
        <f aca="false">PROVISIONALES!A12</f>
        <v>1.1.1.7</v>
      </c>
      <c r="C139" s="14" t="s">
        <v>147</v>
      </c>
      <c r="D139" s="14"/>
      <c r="E139" s="14"/>
      <c r="F139" s="14"/>
      <c r="G139" s="14"/>
      <c r="H139" s="14"/>
      <c r="I139" s="14"/>
    </row>
    <row r="140" customFormat="false" ht="15" hidden="false" customHeight="false" outlineLevel="0" collapsed="false">
      <c r="A140" s="14" t="s">
        <v>279</v>
      </c>
      <c r="B140" s="14" t="s">
        <v>280</v>
      </c>
      <c r="C140" s="36" t="s">
        <v>281</v>
      </c>
      <c r="D140" s="52" t="n">
        <v>20</v>
      </c>
      <c r="E140" s="36" t="s">
        <v>282</v>
      </c>
      <c r="F140" s="52" t="n">
        <f aca="false">D140</f>
        <v>20</v>
      </c>
      <c r="G140" s="14" t="s">
        <v>283</v>
      </c>
      <c r="I140" s="36" t="s">
        <v>150</v>
      </c>
      <c r="J140" s="53" t="n">
        <f aca="false">J145+J164+J166</f>
        <v>343.16159</v>
      </c>
    </row>
    <row r="141" customFormat="false" ht="15" hidden="false" customHeight="false" outlineLevel="0" collapsed="false">
      <c r="A141" s="14" t="s">
        <v>284</v>
      </c>
      <c r="B141" s="14" t="s">
        <v>285</v>
      </c>
      <c r="F141" s="36" t="s">
        <v>123</v>
      </c>
      <c r="G141" s="36" t="s">
        <v>286</v>
      </c>
      <c r="H141" s="36" t="s">
        <v>287</v>
      </c>
      <c r="I141" s="36" t="s">
        <v>288</v>
      </c>
      <c r="J141" s="36" t="s">
        <v>289</v>
      </c>
    </row>
    <row r="142" customFormat="false" ht="15" hidden="false" customHeight="false" outlineLevel="0" collapsed="false">
      <c r="B142" s="54" t="s">
        <v>290</v>
      </c>
    </row>
    <row r="143" customFormat="false" ht="15" hidden="false" customHeight="false" outlineLevel="0" collapsed="false">
      <c r="B143" s="1" t="s">
        <v>291</v>
      </c>
      <c r="F143" s="55" t="s">
        <v>292</v>
      </c>
      <c r="G143" s="56" t="n">
        <v>1</v>
      </c>
      <c r="H143" s="57" t="n">
        <f aca="false">G143*8/$D$140</f>
        <v>0.4</v>
      </c>
      <c r="I143" s="28" t="n">
        <v>28.94</v>
      </c>
      <c r="J143" s="28" t="n">
        <f aca="false">H143*I143</f>
        <v>11.576</v>
      </c>
    </row>
    <row r="144" customFormat="false" ht="15" hidden="false" customHeight="false" outlineLevel="0" collapsed="false">
      <c r="B144" s="1" t="s">
        <v>294</v>
      </c>
      <c r="F144" s="55" t="s">
        <v>292</v>
      </c>
      <c r="G144" s="56" t="n">
        <v>2</v>
      </c>
      <c r="H144" s="57" t="n">
        <f aca="false">G144*8/$D$140</f>
        <v>0.8</v>
      </c>
      <c r="I144" s="28" t="n">
        <v>20.51</v>
      </c>
      <c r="J144" s="28" t="n">
        <f aca="false">H144*I144</f>
        <v>16.408</v>
      </c>
    </row>
    <row r="145" customFormat="false" ht="15" hidden="false" customHeight="false" outlineLevel="0" collapsed="false">
      <c r="J145" s="53" t="n">
        <f aca="false">SUM(J143:J144)</f>
        <v>27.984</v>
      </c>
    </row>
    <row r="146" customFormat="false" ht="15" hidden="false" customHeight="false" outlineLevel="0" collapsed="false">
      <c r="B146" s="54" t="s">
        <v>295</v>
      </c>
    </row>
    <row r="147" customFormat="false" ht="15" hidden="false" customHeight="false" outlineLevel="0" collapsed="false">
      <c r="B147" s="1" t="s">
        <v>296</v>
      </c>
      <c r="F147" s="55" t="s">
        <v>297</v>
      </c>
      <c r="G147" s="56"/>
      <c r="H147" s="57" t="n">
        <v>1.25</v>
      </c>
      <c r="I147" s="28" t="n">
        <v>2.64</v>
      </c>
      <c r="J147" s="28" t="n">
        <f aca="false">H147*I147</f>
        <v>3.3</v>
      </c>
    </row>
    <row r="148" customFormat="false" ht="15" hidden="false" customHeight="false" outlineLevel="0" collapsed="false">
      <c r="B148" s="1" t="s">
        <v>298</v>
      </c>
      <c r="F148" s="55" t="s">
        <v>299</v>
      </c>
      <c r="G148" s="56"/>
      <c r="H148" s="57" t="n">
        <v>0.85</v>
      </c>
      <c r="I148" s="1" t="n">
        <v>14.15</v>
      </c>
      <c r="J148" s="28" t="n">
        <f aca="false">H148*I148</f>
        <v>12.0275</v>
      </c>
    </row>
    <row r="149" customFormat="false" ht="15" hidden="false" customHeight="false" outlineLevel="0" collapsed="false">
      <c r="B149" s="1" t="s">
        <v>300</v>
      </c>
      <c r="F149" s="55" t="s">
        <v>150</v>
      </c>
      <c r="G149" s="56"/>
      <c r="H149" s="57" t="n">
        <v>0.2</v>
      </c>
      <c r="I149" s="1" t="n">
        <v>55</v>
      </c>
      <c r="J149" s="28" t="n">
        <f aca="false">H149*I149</f>
        <v>11</v>
      </c>
    </row>
    <row r="150" customFormat="false" ht="15" hidden="false" customHeight="false" outlineLevel="0" collapsed="false">
      <c r="B150" s="1" t="s">
        <v>301</v>
      </c>
      <c r="F150" s="55" t="s">
        <v>297</v>
      </c>
      <c r="H150" s="57" t="n">
        <v>0.04</v>
      </c>
      <c r="I150" s="1" t="n">
        <v>10.93</v>
      </c>
      <c r="J150" s="28" t="n">
        <f aca="false">H150*I150</f>
        <v>0.4372</v>
      </c>
    </row>
    <row r="151" customFormat="false" ht="15" hidden="false" customHeight="false" outlineLevel="0" collapsed="false">
      <c r="B151" s="1" t="s">
        <v>302</v>
      </c>
      <c r="F151" s="55" t="s">
        <v>297</v>
      </c>
      <c r="H151" s="57" t="n">
        <v>0.071</v>
      </c>
      <c r="I151" s="28" t="n">
        <v>5.51</v>
      </c>
      <c r="J151" s="28" t="n">
        <f aca="false">H151*I151</f>
        <v>0.39121</v>
      </c>
    </row>
    <row r="152" customFormat="false" ht="15" hidden="false" customHeight="false" outlineLevel="0" collapsed="false">
      <c r="B152" s="1" t="s">
        <v>303</v>
      </c>
      <c r="F152" s="55" t="s">
        <v>204</v>
      </c>
      <c r="H152" s="57" t="n">
        <v>0.19</v>
      </c>
      <c r="I152" s="28" t="n">
        <v>70.92</v>
      </c>
      <c r="J152" s="28" t="n">
        <f aca="false">H152*I152</f>
        <v>13.4748</v>
      </c>
    </row>
    <row r="153" customFormat="false" ht="15" hidden="false" customHeight="false" outlineLevel="0" collapsed="false">
      <c r="B153" s="1" t="s">
        <v>304</v>
      </c>
      <c r="F153" s="55" t="s">
        <v>299</v>
      </c>
      <c r="H153" s="57" t="n">
        <v>0.53</v>
      </c>
      <c r="I153" s="1" t="n">
        <v>27.88</v>
      </c>
      <c r="J153" s="28" t="n">
        <f aca="false">H153*I153</f>
        <v>14.7764</v>
      </c>
    </row>
    <row r="154" customFormat="false" ht="15" hidden="false" customHeight="false" outlineLevel="0" collapsed="false">
      <c r="B154" s="1" t="s">
        <v>305</v>
      </c>
      <c r="F154" s="55" t="s">
        <v>306</v>
      </c>
      <c r="H154" s="57" t="n">
        <v>0.2374</v>
      </c>
      <c r="I154" s="1" t="n">
        <v>32.2</v>
      </c>
      <c r="J154" s="28" t="n">
        <f aca="false">H154*I154</f>
        <v>7.64428</v>
      </c>
    </row>
    <row r="155" customFormat="false" ht="15" hidden="false" customHeight="false" outlineLevel="0" collapsed="false">
      <c r="B155" s="1" t="s">
        <v>307</v>
      </c>
      <c r="F155" s="55" t="s">
        <v>308</v>
      </c>
      <c r="H155" s="57" t="n">
        <v>0.5</v>
      </c>
      <c r="I155" s="28" t="n">
        <v>24.52</v>
      </c>
      <c r="J155" s="28" t="n">
        <f aca="false">H155*I155</f>
        <v>12.26</v>
      </c>
    </row>
    <row r="156" customFormat="false" ht="15" hidden="false" customHeight="false" outlineLevel="0" collapsed="false">
      <c r="B156" s="1" t="s">
        <v>309</v>
      </c>
      <c r="F156" s="55" t="s">
        <v>306</v>
      </c>
      <c r="H156" s="57" t="n">
        <v>3</v>
      </c>
      <c r="I156" s="28" t="n">
        <v>5.8</v>
      </c>
      <c r="J156" s="28" t="n">
        <f aca="false">H156*I156</f>
        <v>17.4</v>
      </c>
    </row>
    <row r="157" customFormat="false" ht="15" hidden="false" customHeight="false" outlineLevel="0" collapsed="false">
      <c r="B157" s="1" t="s">
        <v>319</v>
      </c>
      <c r="F157" s="55" t="s">
        <v>150</v>
      </c>
      <c r="H157" s="57" t="n">
        <v>0.694</v>
      </c>
      <c r="I157" s="28" t="n">
        <v>120</v>
      </c>
      <c r="J157" s="28" t="n">
        <f aca="false">H157*I157</f>
        <v>83.28</v>
      </c>
    </row>
    <row r="158" customFormat="false" ht="15" hidden="false" customHeight="false" outlineLevel="0" collapsed="false">
      <c r="B158" s="1" t="s">
        <v>320</v>
      </c>
      <c r="F158" s="55" t="s">
        <v>145</v>
      </c>
      <c r="H158" s="57" t="n">
        <v>1.042</v>
      </c>
      <c r="I158" s="28" t="n">
        <v>25</v>
      </c>
      <c r="J158" s="28" t="n">
        <f aca="false">H158*I158</f>
        <v>26.05</v>
      </c>
    </row>
    <row r="159" customFormat="false" ht="15" hidden="false" customHeight="false" outlineLevel="0" collapsed="false">
      <c r="B159" s="1" t="s">
        <v>321</v>
      </c>
      <c r="F159" s="55" t="s">
        <v>150</v>
      </c>
      <c r="H159" s="57" t="n">
        <v>0.694</v>
      </c>
      <c r="I159" s="28" t="n">
        <v>18</v>
      </c>
      <c r="J159" s="28" t="n">
        <f aca="false">H159*I159</f>
        <v>12.492</v>
      </c>
    </row>
    <row r="160" customFormat="false" ht="15" hidden="false" customHeight="false" outlineLevel="0" collapsed="false">
      <c r="B160" s="1" t="s">
        <v>322</v>
      </c>
      <c r="F160" s="55" t="s">
        <v>150</v>
      </c>
      <c r="H160" s="57" t="n">
        <v>0.139</v>
      </c>
      <c r="I160" s="28" t="n">
        <v>15</v>
      </c>
      <c r="J160" s="28" t="n">
        <f aca="false">H160*I160</f>
        <v>2.085</v>
      </c>
    </row>
    <row r="161" customFormat="false" ht="15" hidden="false" customHeight="false" outlineLevel="0" collapsed="false">
      <c r="B161" s="1" t="s">
        <v>323</v>
      </c>
      <c r="F161" s="55" t="s">
        <v>150</v>
      </c>
      <c r="H161" s="57" t="n">
        <v>0.694</v>
      </c>
      <c r="I161" s="28" t="n">
        <v>80</v>
      </c>
      <c r="J161" s="28" t="n">
        <f aca="false">H161*I161</f>
        <v>55.52</v>
      </c>
    </row>
    <row r="162" customFormat="false" ht="15" hidden="false" customHeight="false" outlineLevel="0" collapsed="false">
      <c r="B162" s="1" t="s">
        <v>324</v>
      </c>
      <c r="F162" s="55" t="s">
        <v>150</v>
      </c>
      <c r="H162" s="57" t="n">
        <v>0.694</v>
      </c>
      <c r="I162" s="28" t="n">
        <v>40</v>
      </c>
      <c r="J162" s="28" t="n">
        <f aca="false">H162*I162</f>
        <v>27.76</v>
      </c>
    </row>
    <row r="163" customFormat="false" ht="15" hidden="false" customHeight="false" outlineLevel="0" collapsed="false">
      <c r="B163" s="1" t="s">
        <v>325</v>
      </c>
      <c r="F163" s="55" t="s">
        <v>150</v>
      </c>
      <c r="H163" s="57" t="n">
        <v>0.694</v>
      </c>
      <c r="I163" s="28" t="n">
        <v>20</v>
      </c>
      <c r="J163" s="28" t="n">
        <f aca="false">H163*I163</f>
        <v>13.88</v>
      </c>
    </row>
    <row r="164" customFormat="false" ht="15" hidden="false" customHeight="false" outlineLevel="0" collapsed="false">
      <c r="B164" s="54" t="s">
        <v>310</v>
      </c>
      <c r="J164" s="53" t="n">
        <f aca="false">SUM(J147:J163)</f>
        <v>313.77839</v>
      </c>
    </row>
    <row r="165" customFormat="false" ht="15" hidden="false" customHeight="false" outlineLevel="0" collapsed="false">
      <c r="B165" s="1" t="s">
        <v>311</v>
      </c>
      <c r="F165" s="55" t="s">
        <v>312</v>
      </c>
      <c r="H165" s="57" t="n">
        <v>5</v>
      </c>
      <c r="I165" s="28" t="n">
        <f aca="false">J145</f>
        <v>27.984</v>
      </c>
      <c r="J165" s="28" t="n">
        <f aca="false">H165%*I165</f>
        <v>1.3992</v>
      </c>
    </row>
    <row r="166" customFormat="false" ht="15" hidden="false" customHeight="false" outlineLevel="0" collapsed="false">
      <c r="A166" s="60"/>
      <c r="B166" s="60"/>
      <c r="C166" s="60"/>
      <c r="D166" s="60"/>
      <c r="E166" s="60"/>
      <c r="F166" s="60"/>
      <c r="G166" s="60"/>
      <c r="H166" s="60"/>
      <c r="I166" s="60"/>
      <c r="J166" s="61" t="n">
        <f aca="false">SUM(J165)</f>
        <v>1.3992</v>
      </c>
    </row>
    <row r="168" customFormat="false" ht="15" hidden="false" customHeight="false" outlineLevel="0" collapsed="false">
      <c r="A168" s="14" t="s">
        <v>278</v>
      </c>
      <c r="B168" s="14" t="str">
        <f aca="false">PROVISIONALES!A13</f>
        <v>1.1.1.8</v>
      </c>
      <c r="C168" s="14" t="s">
        <v>149</v>
      </c>
      <c r="D168" s="14"/>
      <c r="E168" s="14"/>
      <c r="F168" s="14"/>
      <c r="G168" s="14"/>
      <c r="H168" s="14"/>
      <c r="I168" s="14"/>
    </row>
    <row r="169" customFormat="false" ht="15" hidden="false" customHeight="false" outlineLevel="0" collapsed="false">
      <c r="A169" s="14" t="s">
        <v>279</v>
      </c>
      <c r="B169" s="14" t="s">
        <v>326</v>
      </c>
      <c r="C169" s="36" t="s">
        <v>281</v>
      </c>
      <c r="D169" s="52" t="n">
        <v>1</v>
      </c>
      <c r="E169" s="36" t="s">
        <v>282</v>
      </c>
      <c r="F169" s="52" t="n">
        <f aca="false">D169</f>
        <v>1</v>
      </c>
      <c r="G169" s="14" t="s">
        <v>283</v>
      </c>
      <c r="I169" s="36" t="s">
        <v>150</v>
      </c>
      <c r="J169" s="53" t="n">
        <f aca="false">J175++J186+J189</f>
        <v>1453.77752</v>
      </c>
    </row>
    <row r="170" customFormat="false" ht="15" hidden="false" customHeight="false" outlineLevel="0" collapsed="false">
      <c r="A170" s="14" t="s">
        <v>284</v>
      </c>
      <c r="B170" s="14" t="s">
        <v>285</v>
      </c>
      <c r="F170" s="36" t="s">
        <v>123</v>
      </c>
      <c r="G170" s="36" t="s">
        <v>286</v>
      </c>
      <c r="H170" s="36" t="s">
        <v>287</v>
      </c>
      <c r="I170" s="36" t="s">
        <v>288</v>
      </c>
      <c r="J170" s="36" t="s">
        <v>289</v>
      </c>
    </row>
    <row r="171" customFormat="false" ht="15" hidden="false" customHeight="false" outlineLevel="0" collapsed="false">
      <c r="B171" s="54" t="s">
        <v>290</v>
      </c>
    </row>
    <row r="172" customFormat="false" ht="15" hidden="false" customHeight="false" outlineLevel="0" collapsed="false">
      <c r="B172" s="1" t="s">
        <v>291</v>
      </c>
      <c r="F172" s="55" t="s">
        <v>292</v>
      </c>
      <c r="G172" s="56" t="n">
        <v>1</v>
      </c>
      <c r="H172" s="57" t="n">
        <f aca="false">G172*8/$D$169</f>
        <v>8</v>
      </c>
      <c r="I172" s="28" t="n">
        <v>28.94</v>
      </c>
      <c r="J172" s="28" t="n">
        <f aca="false">H172*I172</f>
        <v>231.52</v>
      </c>
    </row>
    <row r="173" customFormat="false" ht="15" hidden="false" customHeight="false" outlineLevel="0" collapsed="false">
      <c r="B173" s="1" t="s">
        <v>293</v>
      </c>
      <c r="F173" s="55" t="s">
        <v>292</v>
      </c>
      <c r="G173" s="56" t="n">
        <v>0.5</v>
      </c>
      <c r="H173" s="57" t="n">
        <f aca="false">G173*8/$D$169</f>
        <v>4</v>
      </c>
      <c r="I173" s="28" t="n">
        <v>22.66</v>
      </c>
      <c r="J173" s="28" t="n">
        <f aca="false">H173*I173</f>
        <v>90.64</v>
      </c>
    </row>
    <row r="174" customFormat="false" ht="15" hidden="false" customHeight="false" outlineLevel="0" collapsed="false">
      <c r="B174" s="1" t="s">
        <v>294</v>
      </c>
      <c r="F174" s="55" t="s">
        <v>292</v>
      </c>
      <c r="G174" s="56" t="n">
        <v>1</v>
      </c>
      <c r="H174" s="57" t="n">
        <f aca="false">G174*8/$D$169</f>
        <v>8</v>
      </c>
      <c r="I174" s="28" t="n">
        <v>20.51</v>
      </c>
      <c r="J174" s="28" t="n">
        <f aca="false">H174*I174</f>
        <v>164.08</v>
      </c>
    </row>
    <row r="175" customFormat="false" ht="15" hidden="false" customHeight="false" outlineLevel="0" collapsed="false">
      <c r="J175" s="53" t="n">
        <f aca="false">SUM(J172:J174)</f>
        <v>486.24</v>
      </c>
    </row>
    <row r="176" customFormat="false" ht="15" hidden="false" customHeight="false" outlineLevel="0" collapsed="false">
      <c r="B176" s="54" t="s">
        <v>295</v>
      </c>
    </row>
    <row r="177" customFormat="false" ht="15" hidden="false" customHeight="false" outlineLevel="0" collapsed="false">
      <c r="B177" s="1" t="s">
        <v>327</v>
      </c>
      <c r="F177" s="55" t="s">
        <v>150</v>
      </c>
      <c r="G177" s="56"/>
      <c r="H177" s="57" t="n">
        <v>1</v>
      </c>
      <c r="I177" s="28" t="n">
        <v>355.93</v>
      </c>
      <c r="J177" s="28" t="n">
        <f aca="false">H177*I177</f>
        <v>355.93</v>
      </c>
    </row>
    <row r="178" customFormat="false" ht="15" hidden="false" customHeight="false" outlineLevel="0" collapsed="false">
      <c r="B178" s="1" t="s">
        <v>302</v>
      </c>
      <c r="F178" s="55" t="s">
        <v>297</v>
      </c>
      <c r="H178" s="57" t="n">
        <v>1.4</v>
      </c>
      <c r="I178" s="28" t="n">
        <v>5.51</v>
      </c>
      <c r="J178" s="28" t="n">
        <f aca="false">H178*I178</f>
        <v>7.714</v>
      </c>
    </row>
    <row r="179" customFormat="false" ht="15" hidden="false" customHeight="false" outlineLevel="0" collapsed="false">
      <c r="B179" s="1" t="s">
        <v>303</v>
      </c>
      <c r="F179" s="55" t="s">
        <v>204</v>
      </c>
      <c r="H179" s="57" t="n">
        <v>0.252</v>
      </c>
      <c r="I179" s="28" t="n">
        <v>70.92</v>
      </c>
      <c r="J179" s="28" t="n">
        <f aca="false">H179*I179</f>
        <v>17.87184</v>
      </c>
    </row>
    <row r="180" customFormat="false" ht="15" hidden="false" customHeight="false" outlineLevel="0" collapsed="false">
      <c r="B180" s="1" t="s">
        <v>328</v>
      </c>
      <c r="F180" s="1" t="s">
        <v>150</v>
      </c>
      <c r="H180" s="1" t="n">
        <v>10</v>
      </c>
      <c r="I180" s="1" t="n">
        <v>3.9</v>
      </c>
      <c r="J180" s="28" t="n">
        <f aca="false">H180*I180</f>
        <v>39</v>
      </c>
    </row>
    <row r="181" customFormat="false" ht="15" hidden="false" customHeight="false" outlineLevel="0" collapsed="false">
      <c r="B181" s="1" t="s">
        <v>329</v>
      </c>
      <c r="F181" s="55" t="s">
        <v>204</v>
      </c>
      <c r="H181" s="1" t="n">
        <v>0.252</v>
      </c>
      <c r="I181" s="1" t="n">
        <v>80</v>
      </c>
      <c r="J181" s="28" t="n">
        <f aca="false">H181*I181</f>
        <v>20.16</v>
      </c>
    </row>
    <row r="182" customFormat="false" ht="15" hidden="false" customHeight="false" outlineLevel="0" collapsed="false">
      <c r="B182" s="1" t="s">
        <v>330</v>
      </c>
      <c r="F182" s="1" t="s">
        <v>331</v>
      </c>
      <c r="H182" s="1" t="n">
        <v>2</v>
      </c>
      <c r="I182" s="1" t="n">
        <v>44.83</v>
      </c>
      <c r="J182" s="28" t="n">
        <f aca="false">H182*I182</f>
        <v>89.66</v>
      </c>
    </row>
    <row r="183" customFormat="false" ht="15" hidden="false" customHeight="false" outlineLevel="0" collapsed="false">
      <c r="B183" s="1" t="s">
        <v>304</v>
      </c>
      <c r="F183" s="55" t="s">
        <v>299</v>
      </c>
      <c r="H183" s="57" t="n">
        <v>3</v>
      </c>
      <c r="I183" s="1" t="n">
        <v>27.88</v>
      </c>
      <c r="J183" s="28" t="n">
        <f aca="false">H183*I183</f>
        <v>83.64</v>
      </c>
    </row>
    <row r="184" customFormat="false" ht="15" hidden="false" customHeight="false" outlineLevel="0" collapsed="false">
      <c r="B184" s="1" t="s">
        <v>307</v>
      </c>
      <c r="F184" s="55" t="s">
        <v>308</v>
      </c>
      <c r="H184" s="57" t="n">
        <v>2.334</v>
      </c>
      <c r="I184" s="28" t="n">
        <v>24.52</v>
      </c>
      <c r="J184" s="28" t="n">
        <f aca="false">H184*I184</f>
        <v>57.22968</v>
      </c>
    </row>
    <row r="185" customFormat="false" ht="15" hidden="false" customHeight="false" outlineLevel="0" collapsed="false">
      <c r="B185" s="1" t="s">
        <v>309</v>
      </c>
      <c r="F185" s="55" t="s">
        <v>306</v>
      </c>
      <c r="H185" s="57" t="n">
        <v>46.9</v>
      </c>
      <c r="I185" s="28" t="n">
        <v>5.8</v>
      </c>
      <c r="J185" s="28" t="n">
        <f aca="false">H185*I185</f>
        <v>272.02</v>
      </c>
    </row>
    <row r="186" customFormat="false" ht="15" hidden="false" customHeight="false" outlineLevel="0" collapsed="false">
      <c r="F186" s="55"/>
      <c r="H186" s="57"/>
      <c r="I186" s="28"/>
      <c r="J186" s="53" t="n">
        <f aca="false">SUM(J177:J185)</f>
        <v>943.22552</v>
      </c>
    </row>
    <row r="187" customFormat="false" ht="15" hidden="false" customHeight="false" outlineLevel="0" collapsed="false">
      <c r="B187" s="54" t="s">
        <v>310</v>
      </c>
    </row>
    <row r="188" customFormat="false" ht="15" hidden="false" customHeight="false" outlineLevel="0" collapsed="false">
      <c r="B188" s="1" t="s">
        <v>311</v>
      </c>
      <c r="F188" s="55" t="s">
        <v>312</v>
      </c>
      <c r="H188" s="57" t="n">
        <v>5</v>
      </c>
      <c r="I188" s="28" t="n">
        <f aca="false">J175</f>
        <v>486.24</v>
      </c>
      <c r="J188" s="28" t="n">
        <f aca="false">H188%*I188</f>
        <v>24.312</v>
      </c>
    </row>
    <row r="189" customFormat="false" ht="15" hidden="false" customHeight="false" outlineLevel="0" collapsed="false">
      <c r="A189" s="60"/>
      <c r="B189" s="60"/>
      <c r="C189" s="60"/>
      <c r="D189" s="60"/>
      <c r="E189" s="60"/>
      <c r="F189" s="60"/>
      <c r="G189" s="60"/>
      <c r="H189" s="60"/>
      <c r="I189" s="60"/>
      <c r="J189" s="61" t="n">
        <f aca="false">SUM(J188)</f>
        <v>24.312</v>
      </c>
    </row>
    <row r="191" customFormat="false" ht="15" hidden="false" customHeight="false" outlineLevel="0" collapsed="false">
      <c r="A191" s="14" t="s">
        <v>278</v>
      </c>
      <c r="B191" s="14" t="str">
        <f aca="false">PROVISIONALES!A15</f>
        <v>1.1.2.1</v>
      </c>
      <c r="C191" s="14" t="s">
        <v>154</v>
      </c>
      <c r="D191" s="14"/>
      <c r="E191" s="14"/>
      <c r="F191" s="14"/>
      <c r="G191" s="14"/>
      <c r="H191" s="14"/>
      <c r="I191" s="14"/>
    </row>
    <row r="192" customFormat="false" ht="15" hidden="false" customHeight="false" outlineLevel="0" collapsed="false">
      <c r="A192" s="14" t="s">
        <v>279</v>
      </c>
      <c r="B192" s="14" t="s">
        <v>332</v>
      </c>
      <c r="C192" s="36" t="s">
        <v>281</v>
      </c>
      <c r="D192" s="52" t="n">
        <v>1</v>
      </c>
      <c r="E192" s="36" t="s">
        <v>282</v>
      </c>
      <c r="F192" s="52" t="n">
        <f aca="false">D192</f>
        <v>1</v>
      </c>
      <c r="G192" s="14" t="s">
        <v>283</v>
      </c>
      <c r="I192" s="36" t="s">
        <v>155</v>
      </c>
      <c r="J192" s="53" t="n">
        <f aca="false">J196</f>
        <v>251.61</v>
      </c>
    </row>
    <row r="193" customFormat="false" ht="15" hidden="false" customHeight="false" outlineLevel="0" collapsed="false">
      <c r="A193" s="14" t="s">
        <v>284</v>
      </c>
      <c r="B193" s="14" t="s">
        <v>285</v>
      </c>
      <c r="F193" s="36" t="s">
        <v>123</v>
      </c>
      <c r="G193" s="36" t="s">
        <v>286</v>
      </c>
      <c r="H193" s="36" t="s">
        <v>287</v>
      </c>
      <c r="I193" s="36" t="s">
        <v>288</v>
      </c>
      <c r="J193" s="36" t="s">
        <v>289</v>
      </c>
    </row>
    <row r="194" customFormat="false" ht="15" hidden="false" customHeight="false" outlineLevel="0" collapsed="false">
      <c r="B194" s="54" t="s">
        <v>295</v>
      </c>
    </row>
    <row r="195" customFormat="false" ht="15" hidden="false" customHeight="false" outlineLevel="0" collapsed="false">
      <c r="B195" s="1" t="s">
        <v>154</v>
      </c>
      <c r="F195" s="55" t="s">
        <v>155</v>
      </c>
      <c r="G195" s="56"/>
      <c r="H195" s="57" t="n">
        <v>1</v>
      </c>
      <c r="I195" s="1" t="n">
        <v>251.61</v>
      </c>
      <c r="J195" s="28" t="n">
        <f aca="false">H195*I195</f>
        <v>251.61</v>
      </c>
    </row>
    <row r="196" customFormat="false" ht="15" hidden="false" customHeight="false" outlineLevel="0" collapsed="false">
      <c r="A196" s="60"/>
      <c r="B196" s="60"/>
      <c r="C196" s="60"/>
      <c r="D196" s="60"/>
      <c r="E196" s="60"/>
      <c r="F196" s="60"/>
      <c r="G196" s="60"/>
      <c r="H196" s="60"/>
      <c r="I196" s="60"/>
      <c r="J196" s="61" t="n">
        <f aca="false">SUM(J195)</f>
        <v>251.61</v>
      </c>
    </row>
    <row r="198" customFormat="false" ht="15" hidden="false" customHeight="false" outlineLevel="0" collapsed="false">
      <c r="A198" s="14" t="s">
        <v>278</v>
      </c>
      <c r="B198" s="14" t="str">
        <f aca="false">PROVISIONALES!A16</f>
        <v>1.1.2.2</v>
      </c>
      <c r="C198" s="14" t="s">
        <v>157</v>
      </c>
      <c r="D198" s="14"/>
      <c r="E198" s="14"/>
      <c r="F198" s="14"/>
      <c r="G198" s="14"/>
      <c r="H198" s="14"/>
      <c r="I198" s="14"/>
    </row>
    <row r="199" customFormat="false" ht="15" hidden="false" customHeight="false" outlineLevel="0" collapsed="false">
      <c r="A199" s="14" t="s">
        <v>279</v>
      </c>
      <c r="B199" s="14" t="s">
        <v>333</v>
      </c>
      <c r="C199" s="36" t="s">
        <v>281</v>
      </c>
      <c r="D199" s="52" t="n">
        <v>1</v>
      </c>
      <c r="E199" s="36" t="s">
        <v>282</v>
      </c>
      <c r="F199" s="52" t="n">
        <f aca="false">D199</f>
        <v>1</v>
      </c>
      <c r="G199" s="14" t="s">
        <v>283</v>
      </c>
      <c r="I199" s="36" t="s">
        <v>158</v>
      </c>
      <c r="J199" s="53" t="n">
        <f aca="false">J203</f>
        <v>185.89</v>
      </c>
    </row>
    <row r="200" customFormat="false" ht="15" hidden="false" customHeight="false" outlineLevel="0" collapsed="false">
      <c r="A200" s="14" t="s">
        <v>284</v>
      </c>
      <c r="B200" s="14" t="s">
        <v>285</v>
      </c>
      <c r="F200" s="36" t="s">
        <v>123</v>
      </c>
      <c r="G200" s="36" t="s">
        <v>286</v>
      </c>
      <c r="H200" s="36" t="s">
        <v>287</v>
      </c>
      <c r="I200" s="36" t="s">
        <v>288</v>
      </c>
      <c r="J200" s="36" t="s">
        <v>289</v>
      </c>
    </row>
    <row r="201" customFormat="false" ht="15" hidden="false" customHeight="false" outlineLevel="0" collapsed="false">
      <c r="B201" s="54" t="s">
        <v>295</v>
      </c>
    </row>
    <row r="202" customFormat="false" ht="15" hidden="false" customHeight="false" outlineLevel="0" collapsed="false">
      <c r="B202" s="1" t="s">
        <v>157</v>
      </c>
      <c r="F202" s="55" t="s">
        <v>155</v>
      </c>
      <c r="G202" s="56"/>
      <c r="H202" s="57" t="n">
        <v>1</v>
      </c>
      <c r="I202" s="1" t="n">
        <v>185.89</v>
      </c>
      <c r="J202" s="28" t="n">
        <f aca="false">H202*I202</f>
        <v>185.89</v>
      </c>
    </row>
    <row r="203" customFormat="false" ht="15" hidden="false" customHeight="false" outlineLevel="0" collapsed="false">
      <c r="A203" s="60"/>
      <c r="B203" s="60"/>
      <c r="C203" s="60"/>
      <c r="D203" s="60"/>
      <c r="E203" s="60"/>
      <c r="F203" s="60"/>
      <c r="G203" s="60"/>
      <c r="H203" s="60"/>
      <c r="I203" s="60"/>
      <c r="J203" s="61" t="n">
        <f aca="false">SUM(J202)</f>
        <v>185.89</v>
      </c>
    </row>
    <row r="205" customFormat="false" ht="15" hidden="false" customHeight="false" outlineLevel="0" collapsed="false">
      <c r="A205" s="14" t="s">
        <v>278</v>
      </c>
      <c r="B205" s="14" t="str">
        <f aca="false">PROVISIONALES!A17</f>
        <v>1.1.2.3</v>
      </c>
      <c r="C205" s="14" t="s">
        <v>160</v>
      </c>
      <c r="D205" s="14"/>
      <c r="E205" s="14"/>
      <c r="F205" s="14"/>
      <c r="G205" s="14"/>
      <c r="H205" s="14"/>
      <c r="I205" s="14"/>
    </row>
    <row r="206" customFormat="false" ht="15" hidden="false" customHeight="false" outlineLevel="0" collapsed="false">
      <c r="A206" s="14" t="s">
        <v>279</v>
      </c>
      <c r="B206" s="14" t="s">
        <v>332</v>
      </c>
      <c r="C206" s="36" t="s">
        <v>281</v>
      </c>
      <c r="D206" s="52" t="n">
        <v>1</v>
      </c>
      <c r="E206" s="36" t="s">
        <v>282</v>
      </c>
      <c r="F206" s="52" t="n">
        <f aca="false">D206</f>
        <v>1</v>
      </c>
      <c r="G206" s="14" t="s">
        <v>283</v>
      </c>
      <c r="I206" s="36" t="s">
        <v>155</v>
      </c>
      <c r="J206" s="53" t="n">
        <f aca="false">J210</f>
        <v>976.39</v>
      </c>
    </row>
    <row r="207" customFormat="false" ht="15" hidden="false" customHeight="false" outlineLevel="0" collapsed="false">
      <c r="A207" s="14" t="s">
        <v>284</v>
      </c>
      <c r="B207" s="14" t="s">
        <v>285</v>
      </c>
      <c r="F207" s="36" t="s">
        <v>123</v>
      </c>
      <c r="G207" s="36" t="s">
        <v>286</v>
      </c>
      <c r="H207" s="36" t="s">
        <v>287</v>
      </c>
      <c r="I207" s="36" t="s">
        <v>288</v>
      </c>
      <c r="J207" s="36" t="s">
        <v>289</v>
      </c>
    </row>
    <row r="208" customFormat="false" ht="15" hidden="false" customHeight="false" outlineLevel="0" collapsed="false">
      <c r="B208" s="54" t="s">
        <v>295</v>
      </c>
    </row>
    <row r="209" customFormat="false" ht="15" hidden="false" customHeight="false" outlineLevel="0" collapsed="false">
      <c r="B209" s="1" t="s">
        <v>160</v>
      </c>
      <c r="F209" s="55" t="s">
        <v>155</v>
      </c>
      <c r="G209" s="56"/>
      <c r="H209" s="57" t="n">
        <v>1</v>
      </c>
      <c r="I209" s="1" t="n">
        <v>976.39</v>
      </c>
      <c r="J209" s="28" t="n">
        <f aca="false">H209*I209</f>
        <v>976.39</v>
      </c>
    </row>
    <row r="210" customFormat="false" ht="15" hidden="false" customHeight="false" outlineLevel="0" collapsed="false">
      <c r="A210" s="60"/>
      <c r="B210" s="60"/>
      <c r="C210" s="60"/>
      <c r="D210" s="60"/>
      <c r="E210" s="60"/>
      <c r="F210" s="60"/>
      <c r="G210" s="60"/>
      <c r="H210" s="60"/>
      <c r="I210" s="60"/>
      <c r="J210" s="61" t="n">
        <f aca="false">SUM(J209)</f>
        <v>976.39</v>
      </c>
    </row>
    <row r="212" customFormat="false" ht="15" hidden="false" customHeight="false" outlineLevel="0" collapsed="false">
      <c r="A212" s="14" t="s">
        <v>278</v>
      </c>
      <c r="B212" s="14" t="str">
        <f aca="false">PROVISIONALES!A18</f>
        <v>1.1.2.4</v>
      </c>
      <c r="C212" s="14" t="s">
        <v>162</v>
      </c>
      <c r="D212" s="14"/>
      <c r="E212" s="14"/>
      <c r="F212" s="14"/>
      <c r="G212" s="14"/>
      <c r="H212" s="14"/>
      <c r="I212" s="14"/>
    </row>
    <row r="213" customFormat="false" ht="15" hidden="false" customHeight="false" outlineLevel="0" collapsed="false">
      <c r="A213" s="14" t="s">
        <v>279</v>
      </c>
      <c r="B213" s="14" t="s">
        <v>333</v>
      </c>
      <c r="C213" s="36" t="s">
        <v>281</v>
      </c>
      <c r="D213" s="52" t="n">
        <v>1</v>
      </c>
      <c r="E213" s="36" t="s">
        <v>282</v>
      </c>
      <c r="F213" s="52" t="n">
        <f aca="false">D213</f>
        <v>1</v>
      </c>
      <c r="G213" s="14" t="s">
        <v>283</v>
      </c>
      <c r="I213" s="36" t="s">
        <v>158</v>
      </c>
      <c r="J213" s="53" t="n">
        <f aca="false">J217</f>
        <v>185.89</v>
      </c>
    </row>
    <row r="214" customFormat="false" ht="15" hidden="false" customHeight="false" outlineLevel="0" collapsed="false">
      <c r="A214" s="14" t="s">
        <v>284</v>
      </c>
      <c r="B214" s="14" t="s">
        <v>285</v>
      </c>
      <c r="F214" s="36" t="s">
        <v>123</v>
      </c>
      <c r="G214" s="36" t="s">
        <v>286</v>
      </c>
      <c r="H214" s="36" t="s">
        <v>287</v>
      </c>
      <c r="I214" s="36" t="s">
        <v>288</v>
      </c>
      <c r="J214" s="36" t="s">
        <v>289</v>
      </c>
    </row>
    <row r="215" customFormat="false" ht="15" hidden="false" customHeight="false" outlineLevel="0" collapsed="false">
      <c r="B215" s="54" t="s">
        <v>295</v>
      </c>
    </row>
    <row r="216" customFormat="false" ht="15" hidden="false" customHeight="false" outlineLevel="0" collapsed="false">
      <c r="B216" s="1" t="s">
        <v>162</v>
      </c>
      <c r="F216" s="55" t="s">
        <v>155</v>
      </c>
      <c r="G216" s="56"/>
      <c r="H216" s="57" t="n">
        <v>1</v>
      </c>
      <c r="I216" s="1" t="n">
        <v>185.89</v>
      </c>
      <c r="J216" s="28" t="n">
        <f aca="false">H216*I216</f>
        <v>185.89</v>
      </c>
    </row>
    <row r="217" customFormat="false" ht="15" hidden="false" customHeight="false" outlineLevel="0" collapsed="false">
      <c r="A217" s="60"/>
      <c r="B217" s="60"/>
      <c r="C217" s="60"/>
      <c r="D217" s="60"/>
      <c r="E217" s="60"/>
      <c r="F217" s="60"/>
      <c r="G217" s="60"/>
      <c r="H217" s="60"/>
      <c r="I217" s="60"/>
      <c r="J217" s="61" t="n">
        <f aca="false">SUM(J216)</f>
        <v>185.89</v>
      </c>
    </row>
    <row r="219" customFormat="false" ht="15" hidden="false" customHeight="false" outlineLevel="0" collapsed="false">
      <c r="A219" s="14" t="s">
        <v>334</v>
      </c>
      <c r="B219" s="14" t="str">
        <f aca="false">PROVISIONALES!A21</f>
        <v>1.2.1.1</v>
      </c>
      <c r="C219" s="14" t="s">
        <v>335</v>
      </c>
      <c r="D219" s="14"/>
      <c r="E219" s="14"/>
      <c r="F219" s="14"/>
      <c r="G219" s="14"/>
      <c r="H219" s="14"/>
      <c r="I219" s="14"/>
    </row>
    <row r="220" customFormat="false" ht="15" hidden="false" customHeight="false" outlineLevel="0" collapsed="false">
      <c r="A220" s="14" t="s">
        <v>279</v>
      </c>
      <c r="B220" s="14" t="s">
        <v>280</v>
      </c>
      <c r="C220" s="36" t="s">
        <v>281</v>
      </c>
      <c r="D220" s="52" t="n">
        <v>300</v>
      </c>
      <c r="E220" s="36" t="s">
        <v>282</v>
      </c>
      <c r="F220" s="52" t="n">
        <f aca="false">D220</f>
        <v>300</v>
      </c>
      <c r="G220" s="14" t="s">
        <v>283</v>
      </c>
      <c r="I220" s="36" t="s">
        <v>134</v>
      </c>
      <c r="J220" s="53" t="n">
        <f aca="false">J224+J227</f>
        <v>1.14856</v>
      </c>
    </row>
    <row r="221" customFormat="false" ht="15" hidden="false" customHeight="false" outlineLevel="0" collapsed="false">
      <c r="A221" s="14" t="s">
        <v>284</v>
      </c>
      <c r="B221" s="14" t="s">
        <v>285</v>
      </c>
      <c r="F221" s="36" t="s">
        <v>123</v>
      </c>
      <c r="G221" s="36" t="s">
        <v>286</v>
      </c>
      <c r="H221" s="36" t="s">
        <v>287</v>
      </c>
      <c r="I221" s="36" t="s">
        <v>288</v>
      </c>
      <c r="J221" s="36" t="s">
        <v>289</v>
      </c>
    </row>
    <row r="222" customFormat="false" ht="15" hidden="false" customHeight="false" outlineLevel="0" collapsed="false">
      <c r="B222" s="54" t="s">
        <v>290</v>
      </c>
    </row>
    <row r="223" customFormat="false" ht="15" hidden="false" customHeight="false" outlineLevel="0" collapsed="false">
      <c r="B223" s="1" t="s">
        <v>294</v>
      </c>
      <c r="F223" s="55" t="s">
        <v>292</v>
      </c>
      <c r="G223" s="56" t="n">
        <v>2</v>
      </c>
      <c r="H223" s="57" t="n">
        <f aca="false">G223*8/$D$220</f>
        <v>0.0533333333333333</v>
      </c>
      <c r="I223" s="28" t="n">
        <v>20.51</v>
      </c>
      <c r="J223" s="28" t="n">
        <f aca="false">H223*I223</f>
        <v>1.09386666666667</v>
      </c>
    </row>
    <row r="224" customFormat="false" ht="15" hidden="false" customHeight="false" outlineLevel="0" collapsed="false">
      <c r="J224" s="53" t="n">
        <f aca="false">SUM(J223)</f>
        <v>1.09386666666667</v>
      </c>
    </row>
    <row r="225" customFormat="false" ht="15" hidden="false" customHeight="false" outlineLevel="0" collapsed="false">
      <c r="B225" s="54" t="s">
        <v>318</v>
      </c>
    </row>
    <row r="226" customFormat="false" ht="15" hidden="false" customHeight="false" outlineLevel="0" collapsed="false">
      <c r="B226" s="1" t="s">
        <v>311</v>
      </c>
      <c r="F226" s="55" t="s">
        <v>312</v>
      </c>
      <c r="H226" s="57" t="n">
        <v>5</v>
      </c>
      <c r="I226" s="28" t="n">
        <f aca="false">J223</f>
        <v>1.09386666666667</v>
      </c>
      <c r="J226" s="28" t="n">
        <f aca="false">H226%*I226</f>
        <v>0.0546933333333333</v>
      </c>
    </row>
    <row r="227" customFormat="false" ht="15" hidden="false" customHeight="false" outlineLevel="0" collapsed="false">
      <c r="A227" s="60"/>
      <c r="B227" s="60"/>
      <c r="C227" s="60"/>
      <c r="D227" s="60"/>
      <c r="E227" s="60"/>
      <c r="F227" s="60"/>
      <c r="G227" s="60"/>
      <c r="H227" s="60"/>
      <c r="I227" s="60"/>
      <c r="J227" s="61" t="n">
        <f aca="false">SUM(J226)</f>
        <v>0.0546933333333333</v>
      </c>
    </row>
    <row r="229" customFormat="false" ht="15" hidden="false" customHeight="false" outlineLevel="0" collapsed="false">
      <c r="A229" s="14" t="s">
        <v>334</v>
      </c>
      <c r="B229" s="14" t="str">
        <f aca="false">PROVISIONALES!A22</f>
        <v>1.2.1.2</v>
      </c>
      <c r="C229" s="14" t="s">
        <v>336</v>
      </c>
      <c r="D229" s="14"/>
      <c r="E229" s="14"/>
      <c r="F229" s="14"/>
      <c r="G229" s="14"/>
      <c r="H229" s="14"/>
      <c r="I229" s="14"/>
    </row>
    <row r="230" customFormat="false" ht="15" hidden="false" customHeight="false" outlineLevel="0" collapsed="false">
      <c r="A230" s="14" t="s">
        <v>279</v>
      </c>
      <c r="B230" s="14" t="s">
        <v>280</v>
      </c>
      <c r="C230" s="36" t="s">
        <v>281</v>
      </c>
      <c r="D230" s="52" t="n">
        <v>450</v>
      </c>
      <c r="E230" s="36" t="s">
        <v>282</v>
      </c>
      <c r="F230" s="52" t="n">
        <f aca="false">D230</f>
        <v>450</v>
      </c>
      <c r="G230" s="14" t="s">
        <v>283</v>
      </c>
      <c r="I230" s="36" t="s">
        <v>134</v>
      </c>
      <c r="J230" s="53" t="n">
        <f aca="false">J234+J238</f>
        <v>1.35947555555556</v>
      </c>
    </row>
    <row r="231" customFormat="false" ht="15" hidden="false" customHeight="false" outlineLevel="0" collapsed="false">
      <c r="A231" s="14" t="s">
        <v>284</v>
      </c>
      <c r="B231" s="14" t="s">
        <v>285</v>
      </c>
      <c r="F231" s="36" t="s">
        <v>123</v>
      </c>
      <c r="G231" s="36" t="s">
        <v>286</v>
      </c>
      <c r="H231" s="36" t="s">
        <v>287</v>
      </c>
      <c r="I231" s="36" t="s">
        <v>288</v>
      </c>
      <c r="J231" s="36" t="s">
        <v>289</v>
      </c>
    </row>
    <row r="232" customFormat="false" ht="15" hidden="false" customHeight="false" outlineLevel="0" collapsed="false">
      <c r="B232" s="54" t="s">
        <v>290</v>
      </c>
    </row>
    <row r="233" customFormat="false" ht="15" hidden="false" customHeight="false" outlineLevel="0" collapsed="false">
      <c r="B233" s="1" t="s">
        <v>294</v>
      </c>
      <c r="F233" s="55" t="s">
        <v>292</v>
      </c>
      <c r="G233" s="56" t="n">
        <v>3</v>
      </c>
      <c r="H233" s="57" t="n">
        <f aca="false">G233*8/$D$230</f>
        <v>0.0533333333333333</v>
      </c>
      <c r="I233" s="28" t="n">
        <v>20.51</v>
      </c>
      <c r="J233" s="28" t="n">
        <f aca="false">H233*I233</f>
        <v>1.09386666666667</v>
      </c>
    </row>
    <row r="234" customFormat="false" ht="15" hidden="false" customHeight="false" outlineLevel="0" collapsed="false">
      <c r="J234" s="53" t="n">
        <f aca="false">SUM(J233)</f>
        <v>1.09386666666667</v>
      </c>
    </row>
    <row r="235" customFormat="false" ht="15" hidden="false" customHeight="false" outlineLevel="0" collapsed="false">
      <c r="B235" s="54" t="s">
        <v>318</v>
      </c>
    </row>
    <row r="236" customFormat="false" ht="15" hidden="false" customHeight="false" outlineLevel="0" collapsed="false">
      <c r="B236" s="1" t="s">
        <v>337</v>
      </c>
      <c r="F236" s="55" t="s">
        <v>338</v>
      </c>
      <c r="G236" s="56" t="n">
        <v>0.1</v>
      </c>
      <c r="H236" s="57" t="n">
        <f aca="false">G236*8/$D$230</f>
        <v>0.00177777777777778</v>
      </c>
      <c r="I236" s="28" t="n">
        <v>118.64</v>
      </c>
      <c r="J236" s="28" t="n">
        <f aca="false">H236*I236</f>
        <v>0.210915555555556</v>
      </c>
    </row>
    <row r="237" customFormat="false" ht="15" hidden="false" customHeight="false" outlineLevel="0" collapsed="false">
      <c r="B237" s="1" t="s">
        <v>311</v>
      </c>
      <c r="F237" s="55" t="s">
        <v>312</v>
      </c>
      <c r="H237" s="57" t="n">
        <v>5</v>
      </c>
      <c r="I237" s="28" t="n">
        <f aca="false">J233</f>
        <v>1.09386666666667</v>
      </c>
      <c r="J237" s="28" t="n">
        <f aca="false">H237%*I237</f>
        <v>0.0546933333333333</v>
      </c>
    </row>
    <row r="238" customFormat="false" ht="15" hidden="false" customHeight="false" outlineLevel="0" collapsed="false">
      <c r="A238" s="60"/>
      <c r="B238" s="60"/>
      <c r="C238" s="60"/>
      <c r="D238" s="60"/>
      <c r="E238" s="60"/>
      <c r="F238" s="60"/>
      <c r="G238" s="60"/>
      <c r="H238" s="60"/>
      <c r="I238" s="60"/>
      <c r="J238" s="61" t="n">
        <f aca="false">SUM(J236:J237)</f>
        <v>0.265608888888889</v>
      </c>
    </row>
    <row r="240" customFormat="false" ht="15" hidden="false" customHeight="false" outlineLevel="0" collapsed="false">
      <c r="A240" s="14" t="s">
        <v>278</v>
      </c>
      <c r="B240" s="14" t="str">
        <f aca="false">PROVISIONALES!A24</f>
        <v>1.2.2.1</v>
      </c>
      <c r="C240" s="14" t="s">
        <v>173</v>
      </c>
      <c r="D240" s="14"/>
      <c r="E240" s="14"/>
      <c r="F240" s="14"/>
      <c r="G240" s="14"/>
      <c r="H240" s="14"/>
      <c r="I240" s="14"/>
    </row>
    <row r="241" customFormat="false" ht="15" hidden="false" customHeight="false" outlineLevel="0" collapsed="false">
      <c r="A241" s="14" t="s">
        <v>279</v>
      </c>
      <c r="B241" s="14" t="s">
        <v>332</v>
      </c>
      <c r="C241" s="36" t="s">
        <v>281</v>
      </c>
      <c r="D241" s="52" t="n">
        <v>1</v>
      </c>
      <c r="E241" s="36" t="s">
        <v>282</v>
      </c>
      <c r="F241" s="52" t="n">
        <f aca="false">D241</f>
        <v>1</v>
      </c>
      <c r="G241" s="14" t="s">
        <v>283</v>
      </c>
      <c r="I241" s="36" t="s">
        <v>155</v>
      </c>
      <c r="J241" s="53" t="n">
        <f aca="false">J245</f>
        <v>4220.99994939201</v>
      </c>
    </row>
    <row r="242" customFormat="false" ht="15" hidden="false" customHeight="false" outlineLevel="0" collapsed="false">
      <c r="A242" s="14" t="s">
        <v>284</v>
      </c>
      <c r="B242" s="14" t="s">
        <v>285</v>
      </c>
      <c r="F242" s="36" t="s">
        <v>123</v>
      </c>
      <c r="G242" s="36" t="s">
        <v>286</v>
      </c>
      <c r="H242" s="36" t="s">
        <v>287</v>
      </c>
      <c r="I242" s="36" t="s">
        <v>288</v>
      </c>
      <c r="J242" s="36" t="s">
        <v>289</v>
      </c>
    </row>
    <row r="243" customFormat="false" ht="15" hidden="false" customHeight="false" outlineLevel="0" collapsed="false">
      <c r="B243" s="54" t="s">
        <v>295</v>
      </c>
    </row>
    <row r="244" customFormat="false" ht="15" hidden="false" customHeight="false" outlineLevel="0" collapsed="false">
      <c r="B244" s="1" t="s">
        <v>160</v>
      </c>
      <c r="F244" s="55" t="s">
        <v>155</v>
      </c>
      <c r="G244" s="56"/>
      <c r="H244" s="57" t="n">
        <v>1</v>
      </c>
      <c r="I244" s="46" t="n">
        <f aca="false">'Obras provisionales'!I30</f>
        <v>4220.99994939201</v>
      </c>
      <c r="J244" s="28" t="n">
        <f aca="false">H244*I244</f>
        <v>4220.99994939201</v>
      </c>
    </row>
    <row r="245" customFormat="false" ht="15" hidden="false" customHeight="false" outlineLevel="0" collapsed="false">
      <c r="A245" s="60"/>
      <c r="B245" s="60"/>
      <c r="C245" s="60"/>
      <c r="D245" s="60"/>
      <c r="E245" s="60"/>
      <c r="F245" s="60"/>
      <c r="G245" s="60"/>
      <c r="H245" s="60"/>
      <c r="I245" s="60"/>
      <c r="J245" s="61" t="n">
        <f aca="false">SUM(J244)</f>
        <v>4220.99994939201</v>
      </c>
    </row>
    <row r="247" customFormat="false" ht="15" hidden="false" customHeight="false" outlineLevel="0" collapsed="false">
      <c r="A247" s="14" t="s">
        <v>278</v>
      </c>
      <c r="B247" s="14" t="str">
        <f aca="false">PROVISIONALES!A25</f>
        <v>1.2.2.2</v>
      </c>
      <c r="C247" s="14" t="s">
        <v>175</v>
      </c>
      <c r="D247" s="14"/>
      <c r="E247" s="14"/>
      <c r="F247" s="14"/>
      <c r="G247" s="14"/>
      <c r="H247" s="14"/>
      <c r="I247" s="14"/>
    </row>
    <row r="248" customFormat="false" ht="15" hidden="false" customHeight="false" outlineLevel="0" collapsed="false">
      <c r="A248" s="14" t="s">
        <v>279</v>
      </c>
      <c r="B248" s="14" t="s">
        <v>332</v>
      </c>
      <c r="C248" s="36" t="s">
        <v>281</v>
      </c>
      <c r="D248" s="52" t="n">
        <v>1</v>
      </c>
      <c r="E248" s="36" t="s">
        <v>282</v>
      </c>
      <c r="F248" s="52" t="n">
        <f aca="false">D248</f>
        <v>1</v>
      </c>
      <c r="G248" s="14" t="s">
        <v>283</v>
      </c>
      <c r="I248" s="36" t="s">
        <v>155</v>
      </c>
      <c r="J248" s="53" t="n">
        <f aca="false">J252</f>
        <v>16883.999797568</v>
      </c>
    </row>
    <row r="249" customFormat="false" ht="15" hidden="false" customHeight="false" outlineLevel="0" collapsed="false">
      <c r="A249" s="14" t="s">
        <v>284</v>
      </c>
      <c r="B249" s="14" t="s">
        <v>285</v>
      </c>
      <c r="F249" s="36" t="s">
        <v>123</v>
      </c>
      <c r="G249" s="36" t="s">
        <v>286</v>
      </c>
      <c r="H249" s="36" t="s">
        <v>287</v>
      </c>
      <c r="I249" s="36" t="s">
        <v>288</v>
      </c>
      <c r="J249" s="36" t="s">
        <v>289</v>
      </c>
    </row>
    <row r="250" customFormat="false" ht="15" hidden="false" customHeight="false" outlineLevel="0" collapsed="false">
      <c r="B250" s="54" t="s">
        <v>295</v>
      </c>
    </row>
    <row r="251" customFormat="false" ht="15" hidden="false" customHeight="false" outlineLevel="0" collapsed="false">
      <c r="B251" s="1" t="s">
        <v>175</v>
      </c>
      <c r="F251" s="55" t="s">
        <v>155</v>
      </c>
      <c r="G251" s="56"/>
      <c r="H251" s="57" t="n">
        <v>1</v>
      </c>
      <c r="I251" s="46" t="n">
        <f aca="false">'Obras provisionales'!I31</f>
        <v>16883.999797568</v>
      </c>
      <c r="J251" s="28" t="n">
        <f aca="false">H251*I251</f>
        <v>16883.999797568</v>
      </c>
    </row>
    <row r="252" customFormat="false" ht="15" hidden="false" customHeight="false" outlineLevel="0" collapsed="false">
      <c r="A252" s="60"/>
      <c r="B252" s="60"/>
      <c r="C252" s="60"/>
      <c r="D252" s="60"/>
      <c r="E252" s="60"/>
      <c r="F252" s="60"/>
      <c r="G252" s="60"/>
      <c r="H252" s="60"/>
      <c r="I252" s="60"/>
      <c r="J252" s="61" t="n">
        <f aca="false">SUM(J251)</f>
        <v>16883.999797568</v>
      </c>
    </row>
    <row r="254" customFormat="false" ht="15" hidden="false" customHeight="false" outlineLevel="0" collapsed="false">
      <c r="A254" s="14" t="s">
        <v>334</v>
      </c>
      <c r="B254" s="14" t="str">
        <f aca="false">PROVISIONALES!A27</f>
        <v>1.2.3.1</v>
      </c>
      <c r="C254" s="14" t="s">
        <v>179</v>
      </c>
      <c r="D254" s="14"/>
      <c r="E254" s="14"/>
      <c r="F254" s="14"/>
      <c r="G254" s="14"/>
      <c r="H254" s="14"/>
      <c r="I254" s="14"/>
    </row>
    <row r="255" customFormat="false" ht="15" hidden="false" customHeight="false" outlineLevel="0" collapsed="false">
      <c r="A255" s="14" t="s">
        <v>279</v>
      </c>
      <c r="B255" s="14" t="s">
        <v>280</v>
      </c>
      <c r="C255" s="36" t="s">
        <v>281</v>
      </c>
      <c r="D255" s="52" t="n">
        <v>600</v>
      </c>
      <c r="E255" s="36" t="s">
        <v>282</v>
      </c>
      <c r="F255" s="52" t="n">
        <f aca="false">D255</f>
        <v>600</v>
      </c>
      <c r="G255" s="14" t="s">
        <v>283</v>
      </c>
      <c r="I255" s="36" t="s">
        <v>134</v>
      </c>
      <c r="J255" s="53" t="n">
        <f aca="false">J260+J267+J272</f>
        <v>3.97626</v>
      </c>
    </row>
    <row r="256" customFormat="false" ht="15" hidden="false" customHeight="false" outlineLevel="0" collapsed="false">
      <c r="A256" s="14" t="s">
        <v>284</v>
      </c>
      <c r="B256" s="14" t="s">
        <v>285</v>
      </c>
      <c r="F256" s="36" t="s">
        <v>123</v>
      </c>
      <c r="G256" s="36" t="s">
        <v>286</v>
      </c>
      <c r="H256" s="36" t="s">
        <v>287</v>
      </c>
      <c r="I256" s="36" t="s">
        <v>288</v>
      </c>
      <c r="J256" s="36" t="s">
        <v>289</v>
      </c>
    </row>
    <row r="257" customFormat="false" ht="15" hidden="false" customHeight="false" outlineLevel="0" collapsed="false">
      <c r="B257" s="54" t="s">
        <v>290</v>
      </c>
    </row>
    <row r="258" customFormat="false" ht="15" hidden="false" customHeight="false" outlineLevel="0" collapsed="false">
      <c r="B258" s="1" t="s">
        <v>291</v>
      </c>
      <c r="F258" s="55" t="s">
        <v>292</v>
      </c>
      <c r="G258" s="56" t="n">
        <v>1</v>
      </c>
      <c r="H258" s="57" t="n">
        <f aca="false">G258*8/$D$255</f>
        <v>0.0133333333333333</v>
      </c>
      <c r="I258" s="28" t="n">
        <v>28.94</v>
      </c>
      <c r="J258" s="28" t="n">
        <f aca="false">H258*I258</f>
        <v>0.385866666666667</v>
      </c>
    </row>
    <row r="259" customFormat="false" ht="15" hidden="false" customHeight="false" outlineLevel="0" collapsed="false">
      <c r="B259" s="1" t="s">
        <v>294</v>
      </c>
      <c r="F259" s="55" t="s">
        <v>292</v>
      </c>
      <c r="G259" s="56" t="n">
        <v>3</v>
      </c>
      <c r="H259" s="57" t="n">
        <f aca="false">G259*8/$D$255</f>
        <v>0.04</v>
      </c>
      <c r="I259" s="28" t="n">
        <v>20.51</v>
      </c>
      <c r="J259" s="28" t="n">
        <f aca="false">H259*I259</f>
        <v>0.8204</v>
      </c>
    </row>
    <row r="260" customFormat="false" ht="15" hidden="false" customHeight="false" outlineLevel="0" collapsed="false">
      <c r="J260" s="53" t="n">
        <f aca="false">SUM(J258:J259)</f>
        <v>1.20626666666667</v>
      </c>
    </row>
    <row r="261" customFormat="false" ht="15" hidden="false" customHeight="false" outlineLevel="0" collapsed="false">
      <c r="B261" s="54" t="s">
        <v>295</v>
      </c>
    </row>
    <row r="262" customFormat="false" ht="15" hidden="false" customHeight="false" outlineLevel="0" collapsed="false">
      <c r="B262" s="1" t="s">
        <v>302</v>
      </c>
      <c r="F262" s="55" t="s">
        <v>297</v>
      </c>
      <c r="H262" s="57" t="n">
        <v>0.01</v>
      </c>
      <c r="I262" s="28" t="n">
        <v>5.51</v>
      </c>
      <c r="J262" s="28" t="n">
        <f aca="false">H262*I262</f>
        <v>0.0551</v>
      </c>
    </row>
    <row r="263" customFormat="false" ht="15" hidden="false" customHeight="false" outlineLevel="0" collapsed="false">
      <c r="B263" s="1" t="s">
        <v>339</v>
      </c>
      <c r="F263" s="55" t="s">
        <v>340</v>
      </c>
      <c r="H263" s="57" t="n">
        <v>0.001</v>
      </c>
      <c r="I263" s="28" t="n">
        <v>38.98</v>
      </c>
      <c r="J263" s="28" t="n">
        <f aca="false">H263*I263</f>
        <v>0.03898</v>
      </c>
    </row>
    <row r="264" customFormat="false" ht="15" hidden="false" customHeight="false" outlineLevel="0" collapsed="false">
      <c r="B264" s="1" t="s">
        <v>341</v>
      </c>
      <c r="F264" s="55" t="s">
        <v>308</v>
      </c>
      <c r="H264" s="57" t="n">
        <v>0.02</v>
      </c>
      <c r="I264" s="28" t="n">
        <v>11.86</v>
      </c>
      <c r="J264" s="28" t="n">
        <f aca="false">H264*I264</f>
        <v>0.2372</v>
      </c>
    </row>
    <row r="265" customFormat="false" ht="15" hidden="false" customHeight="false" outlineLevel="0" collapsed="false">
      <c r="B265" s="1" t="s">
        <v>342</v>
      </c>
      <c r="F265" s="55" t="s">
        <v>145</v>
      </c>
      <c r="H265" s="57" t="n">
        <v>0.19</v>
      </c>
      <c r="I265" s="28" t="n">
        <v>10</v>
      </c>
      <c r="J265" s="28" t="n">
        <f aca="false">H265*I265</f>
        <v>1.9</v>
      </c>
    </row>
    <row r="266" customFormat="false" ht="15" hidden="false" customHeight="false" outlineLevel="0" collapsed="false">
      <c r="B266" s="1" t="s">
        <v>309</v>
      </c>
      <c r="F266" s="55" t="s">
        <v>306</v>
      </c>
      <c r="H266" s="57" t="n">
        <v>0.02</v>
      </c>
      <c r="I266" s="28" t="n">
        <v>5.8</v>
      </c>
      <c r="J266" s="28" t="n">
        <f aca="false">H266*I266</f>
        <v>0.116</v>
      </c>
    </row>
    <row r="267" customFormat="false" ht="15" hidden="false" customHeight="false" outlineLevel="0" collapsed="false">
      <c r="F267" s="55"/>
      <c r="J267" s="53" t="n">
        <f aca="false">SUM(J262:J266)</f>
        <v>2.34728</v>
      </c>
    </row>
    <row r="268" customFormat="false" ht="15" hidden="false" customHeight="false" outlineLevel="0" collapsed="false">
      <c r="B268" s="54" t="s">
        <v>318</v>
      </c>
    </row>
    <row r="269" customFormat="false" ht="15" hidden="false" customHeight="false" outlineLevel="0" collapsed="false">
      <c r="B269" s="1" t="s">
        <v>311</v>
      </c>
      <c r="F269" s="55" t="s">
        <v>312</v>
      </c>
      <c r="H269" s="57" t="n">
        <v>5</v>
      </c>
      <c r="I269" s="28" t="n">
        <f aca="false">J260</f>
        <v>1.20626666666667</v>
      </c>
      <c r="J269" s="28" t="n">
        <f aca="false">H269%*I269</f>
        <v>0.0603133333333333</v>
      </c>
    </row>
    <row r="270" customFormat="false" ht="15" hidden="false" customHeight="false" outlineLevel="0" collapsed="false">
      <c r="B270" s="1" t="s">
        <v>343</v>
      </c>
      <c r="F270" s="55" t="s">
        <v>338</v>
      </c>
      <c r="G270" s="56" t="n">
        <v>1</v>
      </c>
      <c r="H270" s="57" t="n">
        <f aca="false">G270*8/$D$255</f>
        <v>0.0133333333333333</v>
      </c>
      <c r="I270" s="28" t="n">
        <v>20</v>
      </c>
      <c r="J270" s="28" t="n">
        <f aca="false">H270*I270</f>
        <v>0.266666666666667</v>
      </c>
    </row>
    <row r="271" customFormat="false" ht="15" hidden="false" customHeight="false" outlineLevel="0" collapsed="false">
      <c r="B271" s="1" t="s">
        <v>344</v>
      </c>
      <c r="F271" s="55" t="s">
        <v>338</v>
      </c>
      <c r="G271" s="56" t="n">
        <v>1</v>
      </c>
      <c r="H271" s="57" t="n">
        <f aca="false">G271*8/$D$255</f>
        <v>0.0133333333333333</v>
      </c>
      <c r="I271" s="28" t="n">
        <v>7.18</v>
      </c>
      <c r="J271" s="28" t="n">
        <f aca="false">H271*I271</f>
        <v>0.0957333333333333</v>
      </c>
    </row>
    <row r="272" customFormat="false" ht="15" hidden="false" customHeight="false" outlineLevel="0" collapsed="false">
      <c r="A272" s="60"/>
      <c r="B272" s="60"/>
      <c r="C272" s="60"/>
      <c r="D272" s="60"/>
      <c r="E272" s="60"/>
      <c r="F272" s="60"/>
      <c r="G272" s="60"/>
      <c r="H272" s="60"/>
      <c r="I272" s="60"/>
      <c r="J272" s="61" t="n">
        <f aca="false">SUM(J269:J271)</f>
        <v>0.422713333333333</v>
      </c>
    </row>
    <row r="274" customFormat="false" ht="15" hidden="false" customHeight="false" outlineLevel="0" collapsed="false">
      <c r="A274" s="14" t="s">
        <v>334</v>
      </c>
      <c r="B274" s="14" t="str">
        <f aca="false">PROVISIONALES!A28</f>
        <v>1.2.3.2</v>
      </c>
      <c r="C274" s="14" t="s">
        <v>345</v>
      </c>
      <c r="D274" s="14"/>
      <c r="E274" s="14"/>
      <c r="F274" s="14"/>
      <c r="G274" s="14"/>
      <c r="H274" s="14"/>
      <c r="I274" s="14"/>
    </row>
    <row r="275" customFormat="false" ht="15" hidden="false" customHeight="false" outlineLevel="0" collapsed="false">
      <c r="A275" s="14" t="s">
        <v>279</v>
      </c>
      <c r="B275" s="14" t="s">
        <v>280</v>
      </c>
      <c r="C275" s="36" t="s">
        <v>281</v>
      </c>
      <c r="D275" s="52" t="n">
        <v>600</v>
      </c>
      <c r="E275" s="36" t="s">
        <v>282</v>
      </c>
      <c r="F275" s="52" t="n">
        <f aca="false">D275</f>
        <v>600</v>
      </c>
      <c r="G275" s="14" t="s">
        <v>283</v>
      </c>
      <c r="I275" s="36" t="s">
        <v>134</v>
      </c>
      <c r="J275" s="53" t="n">
        <f aca="false">J280+J286+J291</f>
        <v>4.26553</v>
      </c>
    </row>
    <row r="276" customFormat="false" ht="15" hidden="false" customHeight="false" outlineLevel="0" collapsed="false">
      <c r="A276" s="14" t="s">
        <v>284</v>
      </c>
      <c r="B276" s="14" t="s">
        <v>285</v>
      </c>
      <c r="F276" s="36" t="s">
        <v>123</v>
      </c>
      <c r="G276" s="36" t="s">
        <v>286</v>
      </c>
      <c r="H276" s="36" t="s">
        <v>287</v>
      </c>
      <c r="I276" s="36" t="s">
        <v>288</v>
      </c>
      <c r="J276" s="36" t="s">
        <v>289</v>
      </c>
    </row>
    <row r="277" customFormat="false" ht="15" hidden="false" customHeight="false" outlineLevel="0" collapsed="false">
      <c r="B277" s="54" t="s">
        <v>290</v>
      </c>
    </row>
    <row r="278" customFormat="false" ht="15" hidden="false" customHeight="false" outlineLevel="0" collapsed="false">
      <c r="B278" s="1" t="s">
        <v>291</v>
      </c>
      <c r="F278" s="55" t="s">
        <v>292</v>
      </c>
      <c r="G278" s="56" t="n">
        <v>1</v>
      </c>
      <c r="H278" s="57" t="n">
        <f aca="false">G278*8/$D$275</f>
        <v>0.0133333333333333</v>
      </c>
      <c r="I278" s="28" t="n">
        <v>28.94</v>
      </c>
      <c r="J278" s="28" t="n">
        <f aca="false">H278*I278</f>
        <v>0.385866666666667</v>
      </c>
    </row>
    <row r="279" customFormat="false" ht="15" hidden="false" customHeight="false" outlineLevel="0" collapsed="false">
      <c r="B279" s="1" t="s">
        <v>294</v>
      </c>
      <c r="F279" s="55" t="s">
        <v>292</v>
      </c>
      <c r="G279" s="56" t="n">
        <v>3</v>
      </c>
      <c r="H279" s="57" t="n">
        <f aca="false">G279*8/$D$275</f>
        <v>0.04</v>
      </c>
      <c r="I279" s="28" t="n">
        <v>20.51</v>
      </c>
      <c r="J279" s="28" t="n">
        <f aca="false">H279*I279</f>
        <v>0.8204</v>
      </c>
    </row>
    <row r="280" customFormat="false" ht="15" hidden="false" customHeight="false" outlineLevel="0" collapsed="false">
      <c r="J280" s="53" t="n">
        <f aca="false">SUM(J278:J279)</f>
        <v>1.20626666666667</v>
      </c>
    </row>
    <row r="281" customFormat="false" ht="15" hidden="false" customHeight="false" outlineLevel="0" collapsed="false">
      <c r="B281" s="54" t="s">
        <v>295</v>
      </c>
    </row>
    <row r="282" customFormat="false" ht="15" hidden="false" customHeight="false" outlineLevel="0" collapsed="false">
      <c r="B282" s="1" t="s">
        <v>302</v>
      </c>
      <c r="F282" s="55" t="s">
        <v>297</v>
      </c>
      <c r="H282" s="57" t="n">
        <v>0.005</v>
      </c>
      <c r="I282" s="28" t="n">
        <v>5.51</v>
      </c>
      <c r="J282" s="28" t="n">
        <f aca="false">H282*I282</f>
        <v>0.02755</v>
      </c>
    </row>
    <row r="283" customFormat="false" ht="15" hidden="false" customHeight="false" outlineLevel="0" collapsed="false">
      <c r="B283" s="1" t="s">
        <v>341</v>
      </c>
      <c r="F283" s="55" t="s">
        <v>308</v>
      </c>
      <c r="H283" s="57" t="n">
        <v>0.05</v>
      </c>
      <c r="I283" s="28" t="n">
        <v>11.86</v>
      </c>
      <c r="J283" s="28" t="n">
        <f aca="false">H283*I283</f>
        <v>0.593</v>
      </c>
    </row>
    <row r="284" customFormat="false" ht="15" hidden="false" customHeight="false" outlineLevel="0" collapsed="false">
      <c r="B284" s="1" t="s">
        <v>342</v>
      </c>
      <c r="F284" s="55" t="s">
        <v>145</v>
      </c>
      <c r="H284" s="57" t="n">
        <v>0.19</v>
      </c>
      <c r="I284" s="28" t="n">
        <v>10</v>
      </c>
      <c r="J284" s="28" t="n">
        <f aca="false">H284*I284</f>
        <v>1.9</v>
      </c>
    </row>
    <row r="285" customFormat="false" ht="15" hidden="false" customHeight="false" outlineLevel="0" collapsed="false">
      <c r="B285" s="1" t="s">
        <v>309</v>
      </c>
      <c r="F285" s="55" t="s">
        <v>306</v>
      </c>
      <c r="H285" s="57" t="n">
        <v>0.02</v>
      </c>
      <c r="I285" s="28" t="n">
        <v>5.8</v>
      </c>
      <c r="J285" s="28" t="n">
        <f aca="false">H285*I285</f>
        <v>0.116</v>
      </c>
    </row>
    <row r="286" customFormat="false" ht="15" hidden="false" customHeight="false" outlineLevel="0" collapsed="false">
      <c r="F286" s="55"/>
      <c r="J286" s="53" t="n">
        <f aca="false">SUM(J282:J285)</f>
        <v>2.63655</v>
      </c>
    </row>
    <row r="287" customFormat="false" ht="15" hidden="false" customHeight="false" outlineLevel="0" collapsed="false">
      <c r="B287" s="54" t="s">
        <v>318</v>
      </c>
    </row>
    <row r="288" customFormat="false" ht="15" hidden="false" customHeight="false" outlineLevel="0" collapsed="false">
      <c r="B288" s="1" t="s">
        <v>311</v>
      </c>
      <c r="F288" s="55" t="s">
        <v>312</v>
      </c>
      <c r="H288" s="57" t="n">
        <v>5</v>
      </c>
      <c r="I288" s="28" t="n">
        <f aca="false">J280</f>
        <v>1.20626666666667</v>
      </c>
      <c r="J288" s="28" t="n">
        <f aca="false">H288%*I288</f>
        <v>0.0603133333333333</v>
      </c>
    </row>
    <row r="289" customFormat="false" ht="15" hidden="false" customHeight="false" outlineLevel="0" collapsed="false">
      <c r="B289" s="1" t="s">
        <v>343</v>
      </c>
      <c r="F289" s="55" t="s">
        <v>338</v>
      </c>
      <c r="G289" s="56" t="n">
        <v>1</v>
      </c>
      <c r="H289" s="57" t="n">
        <f aca="false">G289*8/$D$275</f>
        <v>0.0133333333333333</v>
      </c>
      <c r="I289" s="28" t="n">
        <v>20</v>
      </c>
      <c r="J289" s="28" t="n">
        <f aca="false">H289*I289</f>
        <v>0.266666666666667</v>
      </c>
    </row>
    <row r="290" customFormat="false" ht="15" hidden="false" customHeight="false" outlineLevel="0" collapsed="false">
      <c r="B290" s="1" t="s">
        <v>344</v>
      </c>
      <c r="F290" s="55" t="s">
        <v>338</v>
      </c>
      <c r="G290" s="56" t="n">
        <v>1</v>
      </c>
      <c r="H290" s="57" t="n">
        <f aca="false">G290*8/$D$275</f>
        <v>0.0133333333333333</v>
      </c>
      <c r="I290" s="28" t="n">
        <v>7.18</v>
      </c>
      <c r="J290" s="28" t="n">
        <f aca="false">H290*I290</f>
        <v>0.0957333333333333</v>
      </c>
    </row>
    <row r="291" customFormat="false" ht="15" hidden="false" customHeight="false" outlineLevel="0" collapsed="false">
      <c r="A291" s="60"/>
      <c r="B291" s="60"/>
      <c r="C291" s="60"/>
      <c r="D291" s="60"/>
      <c r="E291" s="60"/>
      <c r="F291" s="60"/>
      <c r="G291" s="60"/>
      <c r="H291" s="60"/>
      <c r="I291" s="60"/>
      <c r="J291" s="61" t="n">
        <f aca="false">SUM(J288:J290)</f>
        <v>0.422713333333333</v>
      </c>
    </row>
    <row r="293" customFormat="false" ht="15" hidden="false" customHeight="false" outlineLevel="0" collapsed="false">
      <c r="A293" s="14" t="s">
        <v>334</v>
      </c>
      <c r="B293" s="14" t="str">
        <f aca="false">PROVISIONALES!A31</f>
        <v>1.3.1.1</v>
      </c>
      <c r="C293" s="14" t="s">
        <v>346</v>
      </c>
      <c r="D293" s="14"/>
      <c r="E293" s="14"/>
      <c r="F293" s="14"/>
      <c r="G293" s="14"/>
      <c r="H293" s="14"/>
      <c r="I293" s="14"/>
    </row>
    <row r="294" customFormat="false" ht="15" hidden="false" customHeight="false" outlineLevel="0" collapsed="false">
      <c r="A294" s="14" t="s">
        <v>279</v>
      </c>
      <c r="B294" s="14" t="s">
        <v>347</v>
      </c>
      <c r="C294" s="36" t="s">
        <v>281</v>
      </c>
      <c r="D294" s="52" t="n">
        <v>1</v>
      </c>
      <c r="E294" s="36" t="s">
        <v>282</v>
      </c>
      <c r="F294" s="52" t="n">
        <f aca="false">D294</f>
        <v>1</v>
      </c>
      <c r="G294" s="14" t="s">
        <v>283</v>
      </c>
      <c r="I294" s="36" t="s">
        <v>348</v>
      </c>
      <c r="J294" s="53" t="n">
        <f aca="false">J317</f>
        <v>41043.35</v>
      </c>
    </row>
    <row r="295" customFormat="false" ht="15" hidden="false" customHeight="false" outlineLevel="0" collapsed="false">
      <c r="A295" s="14" t="s">
        <v>284</v>
      </c>
      <c r="B295" s="14" t="s">
        <v>285</v>
      </c>
      <c r="F295" s="36" t="s">
        <v>123</v>
      </c>
      <c r="G295" s="36" t="s">
        <v>286</v>
      </c>
      <c r="H295" s="36" t="s">
        <v>287</v>
      </c>
      <c r="I295" s="36" t="s">
        <v>288</v>
      </c>
      <c r="J295" s="36" t="s">
        <v>289</v>
      </c>
    </row>
    <row r="296" customFormat="false" ht="15" hidden="false" customHeight="false" outlineLevel="0" collapsed="false">
      <c r="B296" s="54" t="s">
        <v>295</v>
      </c>
    </row>
    <row r="297" customFormat="false" ht="15" hidden="false" customHeight="false" outlineLevel="0" collapsed="false">
      <c r="B297" s="1" t="s">
        <v>349</v>
      </c>
      <c r="F297" s="55" t="s">
        <v>150</v>
      </c>
      <c r="G297" s="56"/>
      <c r="H297" s="57" t="n">
        <v>20</v>
      </c>
      <c r="I297" s="1" t="n">
        <v>394.07</v>
      </c>
      <c r="J297" s="28" t="n">
        <f aca="false">H297*I297</f>
        <v>7881.4</v>
      </c>
    </row>
    <row r="298" customFormat="false" ht="15" hidden="false" customHeight="false" outlineLevel="0" collapsed="false">
      <c r="B298" s="1" t="s">
        <v>350</v>
      </c>
      <c r="F298" s="55" t="s">
        <v>351</v>
      </c>
      <c r="H298" s="57" t="n">
        <v>40</v>
      </c>
      <c r="I298" s="1" t="n">
        <v>50.76</v>
      </c>
      <c r="J298" s="28" t="n">
        <f aca="false">H298*I298</f>
        <v>2030.4</v>
      </c>
    </row>
    <row r="299" customFormat="false" ht="15" hidden="false" customHeight="false" outlineLevel="0" collapsed="false">
      <c r="B299" s="1" t="s">
        <v>352</v>
      </c>
      <c r="F299" s="55" t="s">
        <v>150</v>
      </c>
      <c r="H299" s="57" t="n">
        <v>120</v>
      </c>
      <c r="I299" s="1" t="n">
        <v>32.2</v>
      </c>
      <c r="J299" s="28" t="n">
        <f aca="false">H299*I299</f>
        <v>3864</v>
      </c>
    </row>
    <row r="300" customFormat="false" ht="15" hidden="false" customHeight="false" outlineLevel="0" collapsed="false">
      <c r="B300" s="1" t="s">
        <v>353</v>
      </c>
      <c r="F300" s="55" t="s">
        <v>150</v>
      </c>
      <c r="H300" s="57" t="n">
        <v>120</v>
      </c>
      <c r="I300" s="1" t="n">
        <v>32.2</v>
      </c>
      <c r="J300" s="28" t="n">
        <f aca="false">H300*I300</f>
        <v>3864</v>
      </c>
    </row>
    <row r="301" customFormat="false" ht="15" hidden="false" customHeight="false" outlineLevel="0" collapsed="false">
      <c r="B301" s="1" t="s">
        <v>354</v>
      </c>
      <c r="F301" s="55" t="s">
        <v>351</v>
      </c>
      <c r="H301" s="57" t="n">
        <v>112</v>
      </c>
      <c r="I301" s="1" t="n">
        <v>11.86</v>
      </c>
      <c r="J301" s="28" t="n">
        <f aca="false">H301*I301</f>
        <v>1328.32</v>
      </c>
    </row>
    <row r="302" customFormat="false" ht="15" hidden="false" customHeight="false" outlineLevel="0" collapsed="false">
      <c r="B302" s="1" t="s">
        <v>355</v>
      </c>
      <c r="F302" s="55" t="s">
        <v>351</v>
      </c>
      <c r="H302" s="57" t="n">
        <v>40</v>
      </c>
      <c r="I302" s="1" t="n">
        <v>11.02</v>
      </c>
      <c r="J302" s="28" t="n">
        <f aca="false">H302*I302</f>
        <v>440.8</v>
      </c>
    </row>
    <row r="303" customFormat="false" ht="15" hidden="false" customHeight="false" outlineLevel="0" collapsed="false">
      <c r="B303" s="1" t="s">
        <v>356</v>
      </c>
      <c r="F303" s="55" t="s">
        <v>351</v>
      </c>
      <c r="H303" s="57" t="n">
        <v>40</v>
      </c>
      <c r="I303" s="1" t="n">
        <v>7.63</v>
      </c>
      <c r="J303" s="28" t="n">
        <f aca="false">H303*I303</f>
        <v>305.2</v>
      </c>
    </row>
    <row r="304" customFormat="false" ht="15" hidden="false" customHeight="false" outlineLevel="0" collapsed="false">
      <c r="B304" s="1" t="s">
        <v>357</v>
      </c>
      <c r="F304" s="55" t="s">
        <v>351</v>
      </c>
      <c r="H304" s="57" t="n">
        <v>40</v>
      </c>
      <c r="I304" s="1" t="n">
        <v>14.41</v>
      </c>
      <c r="J304" s="28" t="n">
        <f aca="false">H304*I304</f>
        <v>576.4</v>
      </c>
    </row>
    <row r="305" customFormat="false" ht="15" hidden="false" customHeight="false" outlineLevel="0" collapsed="false">
      <c r="B305" s="1" t="s">
        <v>358</v>
      </c>
      <c r="F305" s="55" t="s">
        <v>351</v>
      </c>
      <c r="H305" s="57" t="n">
        <v>4</v>
      </c>
      <c r="I305" s="1" t="n">
        <v>80.51</v>
      </c>
      <c r="J305" s="28" t="n">
        <f aca="false">H305*I305</f>
        <v>322.04</v>
      </c>
    </row>
    <row r="306" customFormat="false" ht="15" hidden="false" customHeight="false" outlineLevel="0" collapsed="false">
      <c r="B306" s="1" t="s">
        <v>359</v>
      </c>
      <c r="F306" s="55" t="s">
        <v>150</v>
      </c>
      <c r="H306" s="57" t="n">
        <v>3</v>
      </c>
      <c r="I306" s="1" t="n">
        <v>233.9</v>
      </c>
      <c r="J306" s="28" t="n">
        <f aca="false">H306*I306</f>
        <v>701.7</v>
      </c>
    </row>
    <row r="307" customFormat="false" ht="15" hidden="false" customHeight="false" outlineLevel="0" collapsed="false">
      <c r="B307" s="1" t="s">
        <v>360</v>
      </c>
      <c r="F307" s="55" t="s">
        <v>150</v>
      </c>
      <c r="H307" s="57" t="n">
        <v>112</v>
      </c>
      <c r="I307" s="1" t="n">
        <v>5.93</v>
      </c>
      <c r="J307" s="28" t="n">
        <f aca="false">H307*I307</f>
        <v>664.16</v>
      </c>
    </row>
    <row r="308" customFormat="false" ht="15" hidden="false" customHeight="false" outlineLevel="0" collapsed="false">
      <c r="B308" s="1" t="s">
        <v>361</v>
      </c>
      <c r="F308" s="55" t="s">
        <v>150</v>
      </c>
      <c r="H308" s="57" t="n">
        <v>2</v>
      </c>
      <c r="I308" s="1" t="n">
        <v>21.19</v>
      </c>
      <c r="J308" s="28" t="n">
        <f aca="false">H308*I308</f>
        <v>42.38</v>
      </c>
    </row>
    <row r="309" customFormat="false" ht="15" hidden="false" customHeight="false" outlineLevel="0" collapsed="false">
      <c r="B309" s="1" t="s">
        <v>362</v>
      </c>
      <c r="F309" s="55" t="s">
        <v>363</v>
      </c>
      <c r="H309" s="57" t="n">
        <v>4</v>
      </c>
      <c r="I309" s="1" t="n">
        <v>21.19</v>
      </c>
      <c r="J309" s="28" t="n">
        <f aca="false">H309*I309</f>
        <v>84.76</v>
      </c>
    </row>
    <row r="310" customFormat="false" ht="15" hidden="false" customHeight="false" outlineLevel="0" collapsed="false">
      <c r="B310" s="1" t="s">
        <v>364</v>
      </c>
      <c r="F310" s="55" t="s">
        <v>150</v>
      </c>
      <c r="H310" s="57" t="n">
        <v>75</v>
      </c>
      <c r="I310" s="1" t="n">
        <v>53.31</v>
      </c>
      <c r="J310" s="28" t="n">
        <f aca="false">H310*I310</f>
        <v>3998.25</v>
      </c>
    </row>
    <row r="311" customFormat="false" ht="15" hidden="false" customHeight="false" outlineLevel="0" collapsed="false">
      <c r="B311" s="1" t="s">
        <v>365</v>
      </c>
      <c r="F311" s="55" t="s">
        <v>150</v>
      </c>
      <c r="H311" s="57" t="n">
        <v>30</v>
      </c>
      <c r="I311" s="1" t="n">
        <v>24.49</v>
      </c>
      <c r="J311" s="28" t="n">
        <f aca="false">H311*I311</f>
        <v>734.7</v>
      </c>
    </row>
    <row r="312" customFormat="false" ht="15" hidden="false" customHeight="false" outlineLevel="0" collapsed="false">
      <c r="B312" s="1" t="s">
        <v>366</v>
      </c>
      <c r="F312" s="55" t="s">
        <v>150</v>
      </c>
      <c r="H312" s="57" t="n">
        <v>20</v>
      </c>
      <c r="I312" s="1" t="n">
        <v>33.81</v>
      </c>
      <c r="J312" s="28" t="n">
        <f aca="false">H312*I312</f>
        <v>676.2</v>
      </c>
    </row>
    <row r="313" customFormat="false" ht="15" hidden="false" customHeight="false" outlineLevel="0" collapsed="false">
      <c r="B313" s="1" t="s">
        <v>367</v>
      </c>
      <c r="F313" s="55" t="s">
        <v>351</v>
      </c>
      <c r="H313" s="57" t="n">
        <v>112</v>
      </c>
      <c r="I313" s="1" t="n">
        <v>2.54</v>
      </c>
      <c r="J313" s="28" t="n">
        <f aca="false">H313*I313</f>
        <v>284.48</v>
      </c>
    </row>
    <row r="314" customFormat="false" ht="15" hidden="false" customHeight="false" outlineLevel="0" collapsed="false">
      <c r="B314" s="1" t="s">
        <v>368</v>
      </c>
      <c r="F314" s="55" t="s">
        <v>150</v>
      </c>
      <c r="H314" s="57" t="n">
        <v>40</v>
      </c>
      <c r="I314" s="1" t="n">
        <v>22.88</v>
      </c>
      <c r="J314" s="28" t="n">
        <f aca="false">H314*I314</f>
        <v>915.2</v>
      </c>
    </row>
    <row r="315" customFormat="false" ht="15" hidden="false" customHeight="false" outlineLevel="0" collapsed="false">
      <c r="B315" s="1" t="s">
        <v>369</v>
      </c>
      <c r="F315" s="55" t="s">
        <v>150</v>
      </c>
      <c r="H315" s="57" t="n">
        <v>112</v>
      </c>
      <c r="I315" s="1" t="n">
        <v>59.32</v>
      </c>
      <c r="J315" s="28" t="n">
        <f aca="false">H315*I315</f>
        <v>6643.84</v>
      </c>
    </row>
    <row r="316" customFormat="false" ht="15" hidden="false" customHeight="false" outlineLevel="0" collapsed="false">
      <c r="B316" s="1" t="s">
        <v>370</v>
      </c>
      <c r="F316" s="55" t="s">
        <v>351</v>
      </c>
      <c r="H316" s="57" t="n">
        <v>112</v>
      </c>
      <c r="I316" s="1" t="n">
        <v>50.76</v>
      </c>
      <c r="J316" s="28" t="n">
        <f aca="false">H316*I316</f>
        <v>5685.12</v>
      </c>
    </row>
    <row r="317" customFormat="false" ht="15" hidden="false" customHeight="false" outlineLevel="0" collapsed="false">
      <c r="A317" s="60"/>
      <c r="B317" s="60"/>
      <c r="C317" s="60"/>
      <c r="D317" s="60"/>
      <c r="E317" s="60"/>
      <c r="F317" s="62"/>
      <c r="G317" s="63"/>
      <c r="H317" s="64"/>
      <c r="I317" s="65"/>
      <c r="J317" s="61" t="n">
        <f aca="false">SUM(J297:J316)</f>
        <v>41043.35</v>
      </c>
    </row>
    <row r="319" customFormat="false" ht="15" hidden="false" customHeight="false" outlineLevel="0" collapsed="false">
      <c r="A319" s="14" t="s">
        <v>334</v>
      </c>
      <c r="B319" s="14" t="str">
        <f aca="false">PROVISIONALES!A32</f>
        <v>1.3.1.2</v>
      </c>
      <c r="C319" s="14" t="s">
        <v>371</v>
      </c>
      <c r="D319" s="14"/>
      <c r="E319" s="14"/>
      <c r="F319" s="14"/>
      <c r="G319" s="14"/>
      <c r="H319" s="14"/>
      <c r="I319" s="14"/>
    </row>
    <row r="320" customFormat="false" ht="15" hidden="false" customHeight="false" outlineLevel="0" collapsed="false">
      <c r="A320" s="14" t="s">
        <v>279</v>
      </c>
      <c r="B320" s="14" t="s">
        <v>347</v>
      </c>
      <c r="C320" s="36" t="s">
        <v>281</v>
      </c>
      <c r="D320" s="52" t="n">
        <v>1</v>
      </c>
      <c r="E320" s="36" t="s">
        <v>282</v>
      </c>
      <c r="F320" s="52" t="n">
        <f aca="false">D320</f>
        <v>1</v>
      </c>
      <c r="G320" s="14" t="s">
        <v>283</v>
      </c>
      <c r="I320" s="36" t="s">
        <v>348</v>
      </c>
      <c r="J320" s="53" t="n">
        <f aca="false">J329</f>
        <v>3824.87</v>
      </c>
    </row>
    <row r="321" customFormat="false" ht="15" hidden="false" customHeight="false" outlineLevel="0" collapsed="false">
      <c r="A321" s="14" t="s">
        <v>284</v>
      </c>
      <c r="B321" s="14" t="s">
        <v>285</v>
      </c>
      <c r="F321" s="36" t="s">
        <v>123</v>
      </c>
      <c r="G321" s="36" t="s">
        <v>286</v>
      </c>
      <c r="H321" s="36" t="s">
        <v>287</v>
      </c>
      <c r="I321" s="36" t="s">
        <v>288</v>
      </c>
      <c r="J321" s="36" t="s">
        <v>289</v>
      </c>
    </row>
    <row r="322" customFormat="false" ht="15" hidden="false" customHeight="false" outlineLevel="0" collapsed="false">
      <c r="B322" s="54" t="s">
        <v>295</v>
      </c>
    </row>
    <row r="323" customFormat="false" ht="15" hidden="false" customHeight="false" outlineLevel="0" collapsed="false">
      <c r="B323" s="1" t="s">
        <v>372</v>
      </c>
      <c r="F323" s="55" t="s">
        <v>373</v>
      </c>
      <c r="G323" s="56"/>
      <c r="H323" s="57" t="n">
        <v>16</v>
      </c>
      <c r="I323" s="1" t="n">
        <v>51.69</v>
      </c>
      <c r="J323" s="28" t="n">
        <f aca="false">H323*I323</f>
        <v>827.04</v>
      </c>
    </row>
    <row r="324" customFormat="false" ht="15" hidden="false" customHeight="false" outlineLevel="0" collapsed="false">
      <c r="B324" s="1" t="s">
        <v>374</v>
      </c>
      <c r="F324" s="55" t="s">
        <v>150</v>
      </c>
      <c r="H324" s="57" t="n">
        <v>15</v>
      </c>
      <c r="I324" s="1" t="n">
        <v>66.53</v>
      </c>
      <c r="J324" s="28" t="n">
        <f aca="false">H324*I324</f>
        <v>997.95</v>
      </c>
    </row>
    <row r="325" customFormat="false" ht="15" hidden="false" customHeight="false" outlineLevel="0" collapsed="false">
      <c r="B325" s="1" t="s">
        <v>375</v>
      </c>
      <c r="F325" s="55" t="s">
        <v>306</v>
      </c>
      <c r="H325" s="57" t="n">
        <v>50</v>
      </c>
      <c r="I325" s="1" t="n">
        <v>22.03</v>
      </c>
      <c r="J325" s="28" t="n">
        <f aca="false">H325*I325</f>
        <v>1101.5</v>
      </c>
    </row>
    <row r="326" customFormat="false" ht="15" hidden="false" customHeight="false" outlineLevel="0" collapsed="false">
      <c r="B326" s="1" t="s">
        <v>376</v>
      </c>
      <c r="F326" s="55" t="s">
        <v>373</v>
      </c>
      <c r="H326" s="57" t="n">
        <v>10</v>
      </c>
      <c r="I326" s="1" t="n">
        <v>62.71</v>
      </c>
      <c r="J326" s="28" t="n">
        <f aca="false">H326*I326</f>
        <v>627.1</v>
      </c>
    </row>
    <row r="327" customFormat="false" ht="15" hidden="false" customHeight="false" outlineLevel="0" collapsed="false">
      <c r="B327" s="1" t="s">
        <v>377</v>
      </c>
      <c r="F327" s="55" t="s">
        <v>150</v>
      </c>
      <c r="H327" s="57" t="n">
        <v>200</v>
      </c>
      <c r="I327" s="1" t="n">
        <v>0.17</v>
      </c>
      <c r="J327" s="28" t="n">
        <f aca="false">H327*I327</f>
        <v>34</v>
      </c>
    </row>
    <row r="328" customFormat="false" ht="15" hidden="false" customHeight="false" outlineLevel="0" collapsed="false">
      <c r="B328" s="1" t="s">
        <v>378</v>
      </c>
      <c r="F328" s="55" t="s">
        <v>373</v>
      </c>
      <c r="H328" s="57" t="n">
        <v>2</v>
      </c>
      <c r="I328" s="1" t="n">
        <v>118.64</v>
      </c>
      <c r="J328" s="28" t="n">
        <f aca="false">H328*I328</f>
        <v>237.28</v>
      </c>
    </row>
    <row r="329" customFormat="false" ht="15" hidden="false" customHeight="false" outlineLevel="0" collapsed="false">
      <c r="A329" s="60"/>
      <c r="B329" s="60"/>
      <c r="C329" s="60"/>
      <c r="D329" s="60"/>
      <c r="E329" s="60"/>
      <c r="F329" s="62"/>
      <c r="G329" s="63"/>
      <c r="H329" s="64"/>
      <c r="I329" s="65"/>
      <c r="J329" s="61" t="n">
        <f aca="false">SUM(J323:J328)</f>
        <v>3824.87</v>
      </c>
    </row>
    <row r="331" customFormat="false" ht="15" hidden="false" customHeight="false" outlineLevel="0" collapsed="false">
      <c r="A331" s="14" t="s">
        <v>334</v>
      </c>
      <c r="B331" s="14" t="str">
        <f aca="false">PROVISIONALES!A33</f>
        <v>1.3.1.3</v>
      </c>
      <c r="C331" s="14" t="s">
        <v>190</v>
      </c>
      <c r="D331" s="14"/>
      <c r="E331" s="14"/>
      <c r="F331" s="14"/>
      <c r="G331" s="14"/>
      <c r="H331" s="14"/>
      <c r="I331" s="14"/>
    </row>
    <row r="332" customFormat="false" ht="15" hidden="false" customHeight="false" outlineLevel="0" collapsed="false">
      <c r="A332" s="14" t="s">
        <v>279</v>
      </c>
      <c r="B332" s="14" t="s">
        <v>347</v>
      </c>
      <c r="C332" s="36" t="s">
        <v>281</v>
      </c>
      <c r="D332" s="52" t="n">
        <v>1</v>
      </c>
      <c r="E332" s="36" t="s">
        <v>282</v>
      </c>
      <c r="F332" s="52" t="n">
        <f aca="false">D332</f>
        <v>1</v>
      </c>
      <c r="G332" s="14" t="s">
        <v>283</v>
      </c>
      <c r="I332" s="36" t="s">
        <v>348</v>
      </c>
      <c r="J332" s="53" t="n">
        <f aca="false">J343</f>
        <v>6076.5</v>
      </c>
    </row>
    <row r="333" customFormat="false" ht="15" hidden="false" customHeight="false" outlineLevel="0" collapsed="false">
      <c r="A333" s="14" t="s">
        <v>284</v>
      </c>
      <c r="B333" s="14" t="s">
        <v>285</v>
      </c>
      <c r="F333" s="36" t="s">
        <v>123</v>
      </c>
      <c r="G333" s="36" t="s">
        <v>286</v>
      </c>
      <c r="H333" s="36" t="s">
        <v>287</v>
      </c>
      <c r="I333" s="36" t="s">
        <v>288</v>
      </c>
      <c r="J333" s="36" t="s">
        <v>289</v>
      </c>
    </row>
    <row r="334" customFormat="false" ht="15" hidden="false" customHeight="false" outlineLevel="0" collapsed="false">
      <c r="B334" s="54" t="s">
        <v>295</v>
      </c>
    </row>
    <row r="335" customFormat="false" ht="15" hidden="false" customHeight="false" outlineLevel="0" collapsed="false">
      <c r="B335" s="1" t="s">
        <v>379</v>
      </c>
      <c r="F335" s="55" t="s">
        <v>150</v>
      </c>
      <c r="G335" s="56"/>
      <c r="H335" s="57" t="n">
        <v>15</v>
      </c>
      <c r="I335" s="1" t="n">
        <v>29.66</v>
      </c>
      <c r="J335" s="28" t="n">
        <f aca="false">H335*I335</f>
        <v>444.9</v>
      </c>
    </row>
    <row r="336" customFormat="false" ht="15" hidden="false" customHeight="false" outlineLevel="0" collapsed="false">
      <c r="B336" s="1" t="s">
        <v>380</v>
      </c>
      <c r="F336" s="55" t="s">
        <v>150</v>
      </c>
      <c r="H336" s="57" t="n">
        <v>15</v>
      </c>
      <c r="I336" s="1" t="n">
        <v>21.19</v>
      </c>
      <c r="J336" s="28" t="n">
        <f aca="false">H336*I336</f>
        <v>317.85</v>
      </c>
    </row>
    <row r="337" customFormat="false" ht="15" hidden="false" customHeight="false" outlineLevel="0" collapsed="false">
      <c r="B337" s="1" t="s">
        <v>381</v>
      </c>
      <c r="F337" s="55" t="s">
        <v>150</v>
      </c>
      <c r="H337" s="57" t="n">
        <v>15</v>
      </c>
      <c r="I337" s="1" t="n">
        <v>38.14</v>
      </c>
      <c r="J337" s="28" t="n">
        <f aca="false">H337*I337</f>
        <v>572.1</v>
      </c>
    </row>
    <row r="338" customFormat="false" ht="15" hidden="false" customHeight="false" outlineLevel="0" collapsed="false">
      <c r="B338" s="1" t="s">
        <v>382</v>
      </c>
      <c r="F338" s="55" t="s">
        <v>150</v>
      </c>
      <c r="H338" s="57" t="n">
        <v>4</v>
      </c>
      <c r="I338" s="1" t="n">
        <v>38.14</v>
      </c>
      <c r="J338" s="28" t="n">
        <f aca="false">H338*I338</f>
        <v>152.56</v>
      </c>
    </row>
    <row r="339" customFormat="false" ht="15" hidden="false" customHeight="false" outlineLevel="0" collapsed="false">
      <c r="B339" s="1" t="s">
        <v>383</v>
      </c>
      <c r="F339" s="55" t="s">
        <v>150</v>
      </c>
      <c r="H339" s="57" t="n">
        <v>4</v>
      </c>
      <c r="I339" s="1" t="n">
        <v>29.66</v>
      </c>
      <c r="J339" s="28" t="n">
        <f aca="false">H339*I339</f>
        <v>118.64</v>
      </c>
    </row>
    <row r="340" customFormat="false" ht="15" hidden="false" customHeight="false" outlineLevel="0" collapsed="false">
      <c r="B340" s="1" t="s">
        <v>384</v>
      </c>
      <c r="F340" s="55" t="s">
        <v>150</v>
      </c>
      <c r="H340" s="57" t="n">
        <v>5</v>
      </c>
      <c r="I340" s="1" t="n">
        <v>67.8</v>
      </c>
      <c r="J340" s="28" t="n">
        <f aca="false">H340*I340</f>
        <v>339</v>
      </c>
    </row>
    <row r="341" customFormat="false" ht="15" hidden="false" customHeight="false" outlineLevel="0" collapsed="false">
      <c r="B341" s="1" t="s">
        <v>385</v>
      </c>
      <c r="F341" s="55" t="s">
        <v>150</v>
      </c>
      <c r="H341" s="57" t="n">
        <v>15</v>
      </c>
      <c r="I341" s="1" t="n">
        <v>21.19</v>
      </c>
      <c r="J341" s="28" t="n">
        <f aca="false">H341*I341</f>
        <v>317.85</v>
      </c>
    </row>
    <row r="342" customFormat="false" ht="15" hidden="false" customHeight="false" outlineLevel="0" collapsed="false">
      <c r="B342" s="1" t="s">
        <v>386</v>
      </c>
      <c r="F342" s="55" t="s">
        <v>150</v>
      </c>
      <c r="H342" s="57" t="n">
        <v>15</v>
      </c>
      <c r="I342" s="1" t="n">
        <v>254.24</v>
      </c>
      <c r="J342" s="28" t="n">
        <f aca="false">H342*I342</f>
        <v>3813.6</v>
      </c>
    </row>
    <row r="343" customFormat="false" ht="15" hidden="false" customHeight="false" outlineLevel="0" collapsed="false">
      <c r="A343" s="60"/>
      <c r="B343" s="60"/>
      <c r="C343" s="60"/>
      <c r="D343" s="60"/>
      <c r="E343" s="60"/>
      <c r="F343" s="62"/>
      <c r="G343" s="63"/>
      <c r="H343" s="64"/>
      <c r="I343" s="65"/>
      <c r="J343" s="61" t="n">
        <f aca="false">SUM(J335:J342)</f>
        <v>6076.5</v>
      </c>
    </row>
    <row r="345" customFormat="false" ht="15" hidden="false" customHeight="false" outlineLevel="0" collapsed="false">
      <c r="A345" s="14" t="s">
        <v>334</v>
      </c>
      <c r="B345" s="14" t="str">
        <f aca="false">PROVISIONALES!A34</f>
        <v>1.3.1.4</v>
      </c>
      <c r="C345" s="14" t="s">
        <v>192</v>
      </c>
      <c r="D345" s="14"/>
      <c r="E345" s="14"/>
      <c r="F345" s="14"/>
      <c r="G345" s="14"/>
      <c r="H345" s="14"/>
      <c r="I345" s="14"/>
    </row>
    <row r="346" customFormat="false" ht="15" hidden="false" customHeight="false" outlineLevel="0" collapsed="false">
      <c r="A346" s="14" t="s">
        <v>279</v>
      </c>
      <c r="B346" s="14" t="s">
        <v>347</v>
      </c>
      <c r="C346" s="36" t="s">
        <v>281</v>
      </c>
      <c r="D346" s="52" t="n">
        <v>1</v>
      </c>
      <c r="E346" s="36" t="s">
        <v>282</v>
      </c>
      <c r="F346" s="52" t="n">
        <f aca="false">D346</f>
        <v>1</v>
      </c>
      <c r="G346" s="14" t="s">
        <v>283</v>
      </c>
      <c r="I346" s="36" t="s">
        <v>348</v>
      </c>
      <c r="J346" s="53" t="n">
        <f aca="false">J352</f>
        <v>18386.64</v>
      </c>
    </row>
    <row r="347" customFormat="false" ht="15" hidden="false" customHeight="false" outlineLevel="0" collapsed="false">
      <c r="A347" s="14" t="s">
        <v>284</v>
      </c>
      <c r="B347" s="14" t="s">
        <v>285</v>
      </c>
      <c r="F347" s="36" t="s">
        <v>123</v>
      </c>
      <c r="G347" s="36" t="s">
        <v>286</v>
      </c>
      <c r="H347" s="36" t="s">
        <v>287</v>
      </c>
      <c r="I347" s="36" t="s">
        <v>288</v>
      </c>
      <c r="J347" s="36" t="s">
        <v>289</v>
      </c>
    </row>
    <row r="348" customFormat="false" ht="15" hidden="false" customHeight="false" outlineLevel="0" collapsed="false">
      <c r="B348" s="54" t="s">
        <v>295</v>
      </c>
    </row>
    <row r="349" customFormat="false" ht="15" hidden="false" customHeight="false" outlineLevel="0" collapsed="false">
      <c r="B349" s="1" t="s">
        <v>387</v>
      </c>
      <c r="F349" s="55" t="s">
        <v>150</v>
      </c>
      <c r="G349" s="56"/>
      <c r="H349" s="57" t="n">
        <v>8</v>
      </c>
      <c r="I349" s="1" t="n">
        <v>423.73</v>
      </c>
      <c r="J349" s="28" t="n">
        <f aca="false">H349*I349</f>
        <v>3389.84</v>
      </c>
    </row>
    <row r="350" customFormat="false" ht="15" hidden="false" customHeight="false" outlineLevel="0" collapsed="false">
      <c r="B350" s="1" t="s">
        <v>388</v>
      </c>
      <c r="F350" s="55" t="s">
        <v>150</v>
      </c>
      <c r="H350" s="57" t="n">
        <v>112</v>
      </c>
      <c r="I350" s="1" t="n">
        <v>127.12</v>
      </c>
      <c r="J350" s="28" t="n">
        <f aca="false">H350*I350</f>
        <v>14237.44</v>
      </c>
    </row>
    <row r="351" customFormat="false" ht="15" hidden="false" customHeight="false" outlineLevel="0" collapsed="false">
      <c r="B351" s="1" t="s">
        <v>389</v>
      </c>
      <c r="F351" s="55" t="s">
        <v>150</v>
      </c>
      <c r="H351" s="57" t="n">
        <v>112</v>
      </c>
      <c r="I351" s="1" t="n">
        <v>6.78</v>
      </c>
      <c r="J351" s="28" t="n">
        <f aca="false">H351*I351</f>
        <v>759.36</v>
      </c>
    </row>
    <row r="352" customFormat="false" ht="15" hidden="false" customHeight="false" outlineLevel="0" collapsed="false">
      <c r="A352" s="60"/>
      <c r="B352" s="60"/>
      <c r="C352" s="60"/>
      <c r="D352" s="60"/>
      <c r="E352" s="60"/>
      <c r="F352" s="62"/>
      <c r="G352" s="63"/>
      <c r="H352" s="64"/>
      <c r="I352" s="65"/>
      <c r="J352" s="61" t="n">
        <f aca="false">SUM(J349:J351)</f>
        <v>18386.64</v>
      </c>
    </row>
    <row r="353" customFormat="false" ht="15" hidden="false" customHeight="false" outlineLevel="0" collapsed="false">
      <c r="F353" s="55"/>
      <c r="H353" s="57"/>
      <c r="J353" s="28"/>
    </row>
    <row r="354" customFormat="false" ht="15" hidden="false" customHeight="false" outlineLevel="0" collapsed="false">
      <c r="A354" s="14" t="s">
        <v>334</v>
      </c>
      <c r="B354" s="14" t="str">
        <f aca="false">PROVISIONALES!A35</f>
        <v>1.3.1.5</v>
      </c>
      <c r="C354" s="14" t="s">
        <v>390</v>
      </c>
      <c r="D354" s="14"/>
      <c r="E354" s="14"/>
      <c r="F354" s="14"/>
      <c r="G354" s="14"/>
      <c r="H354" s="14"/>
      <c r="I354" s="14"/>
    </row>
    <row r="355" customFormat="false" ht="15" hidden="false" customHeight="false" outlineLevel="0" collapsed="false">
      <c r="A355" s="14" t="s">
        <v>279</v>
      </c>
      <c r="B355" s="14" t="s">
        <v>347</v>
      </c>
      <c r="C355" s="36" t="s">
        <v>281</v>
      </c>
      <c r="D355" s="52" t="n">
        <v>1</v>
      </c>
      <c r="E355" s="36" t="s">
        <v>282</v>
      </c>
      <c r="F355" s="52" t="n">
        <f aca="false">D355</f>
        <v>1</v>
      </c>
      <c r="G355" s="14" t="s">
        <v>283</v>
      </c>
      <c r="I355" s="36" t="s">
        <v>348</v>
      </c>
      <c r="J355" s="53" t="n">
        <f aca="false">J364</f>
        <v>1478.8</v>
      </c>
    </row>
    <row r="356" customFormat="false" ht="15" hidden="false" customHeight="false" outlineLevel="0" collapsed="false">
      <c r="A356" s="14" t="s">
        <v>284</v>
      </c>
      <c r="B356" s="14" t="s">
        <v>285</v>
      </c>
      <c r="F356" s="36" t="s">
        <v>123</v>
      </c>
      <c r="G356" s="36" t="s">
        <v>286</v>
      </c>
      <c r="H356" s="36" t="s">
        <v>287</v>
      </c>
      <c r="I356" s="36" t="s">
        <v>288</v>
      </c>
      <c r="J356" s="36" t="s">
        <v>289</v>
      </c>
    </row>
    <row r="357" customFormat="false" ht="15" hidden="false" customHeight="false" outlineLevel="0" collapsed="false">
      <c r="B357" s="54" t="s">
        <v>295</v>
      </c>
    </row>
    <row r="358" customFormat="false" ht="15" hidden="false" customHeight="false" outlineLevel="0" collapsed="false">
      <c r="B358" s="1" t="s">
        <v>391</v>
      </c>
      <c r="F358" s="55" t="s">
        <v>150</v>
      </c>
      <c r="G358" s="56"/>
      <c r="H358" s="57" t="n">
        <v>1</v>
      </c>
      <c r="I358" s="1" t="n">
        <v>211.86</v>
      </c>
      <c r="J358" s="28" t="n">
        <f aca="false">H358*I358</f>
        <v>211.86</v>
      </c>
    </row>
    <row r="359" customFormat="false" ht="15" hidden="false" customHeight="false" outlineLevel="0" collapsed="false">
      <c r="B359" s="1" t="s">
        <v>392</v>
      </c>
      <c r="F359" s="55" t="s">
        <v>150</v>
      </c>
      <c r="H359" s="57" t="n">
        <v>2</v>
      </c>
      <c r="I359" s="1" t="n">
        <v>76.27</v>
      </c>
      <c r="J359" s="28" t="n">
        <f aca="false">H359*I359</f>
        <v>152.54</v>
      </c>
    </row>
    <row r="360" customFormat="false" ht="15" hidden="false" customHeight="false" outlineLevel="0" collapsed="false">
      <c r="B360" s="1" t="s">
        <v>393</v>
      </c>
      <c r="F360" s="55" t="s">
        <v>150</v>
      </c>
      <c r="H360" s="57" t="n">
        <v>1</v>
      </c>
      <c r="I360" s="1" t="n">
        <v>593.22</v>
      </c>
      <c r="J360" s="28" t="n">
        <f aca="false">H360*I360</f>
        <v>593.22</v>
      </c>
    </row>
    <row r="361" customFormat="false" ht="15" hidden="false" customHeight="false" outlineLevel="0" collapsed="false">
      <c r="B361" s="1" t="s">
        <v>394</v>
      </c>
      <c r="F361" s="55" t="s">
        <v>150</v>
      </c>
      <c r="H361" s="57" t="n">
        <v>1</v>
      </c>
      <c r="I361" s="1" t="n">
        <v>38.14</v>
      </c>
      <c r="J361" s="28" t="n">
        <f aca="false">H361*I361</f>
        <v>38.14</v>
      </c>
    </row>
    <row r="362" customFormat="false" ht="15" hidden="false" customHeight="false" outlineLevel="0" collapsed="false">
      <c r="B362" s="1" t="s">
        <v>395</v>
      </c>
      <c r="F362" s="55" t="s">
        <v>150</v>
      </c>
      <c r="H362" s="57" t="n">
        <v>2</v>
      </c>
      <c r="I362" s="1" t="n">
        <v>135.59</v>
      </c>
      <c r="J362" s="28" t="n">
        <f aca="false">H362*I362</f>
        <v>271.18</v>
      </c>
    </row>
    <row r="363" customFormat="false" ht="15" hidden="false" customHeight="false" outlineLevel="0" collapsed="false">
      <c r="B363" s="1" t="s">
        <v>396</v>
      </c>
      <c r="F363" s="55" t="s">
        <v>150</v>
      </c>
      <c r="H363" s="57" t="n">
        <v>1</v>
      </c>
      <c r="I363" s="1" t="n">
        <v>211.86</v>
      </c>
      <c r="J363" s="28" t="n">
        <f aca="false">H363*I363</f>
        <v>211.86</v>
      </c>
    </row>
    <row r="364" customFormat="false" ht="15" hidden="false" customHeight="false" outlineLevel="0" collapsed="false">
      <c r="A364" s="60"/>
      <c r="B364" s="60"/>
      <c r="C364" s="60"/>
      <c r="D364" s="60"/>
      <c r="E364" s="60"/>
      <c r="F364" s="62"/>
      <c r="G364" s="63"/>
      <c r="H364" s="64"/>
      <c r="I364" s="65"/>
      <c r="J364" s="61" t="n">
        <f aca="false">SUM(J358:J363)</f>
        <v>1478.8</v>
      </c>
    </row>
    <row r="365" customFormat="false" ht="15" hidden="false" customHeight="false" outlineLevel="0" collapsed="false">
      <c r="F365" s="55"/>
      <c r="H365" s="57"/>
      <c r="J365" s="28"/>
    </row>
    <row r="366" customFormat="false" ht="15" hidden="false" customHeight="false" outlineLevel="0" collapsed="false">
      <c r="A366" s="14" t="s">
        <v>334</v>
      </c>
      <c r="B366" s="14" t="str">
        <f aca="false">PROVISIONALES!A36</f>
        <v>1.3.1.6</v>
      </c>
      <c r="C366" s="14" t="s">
        <v>397</v>
      </c>
      <c r="D366" s="14"/>
      <c r="E366" s="14"/>
      <c r="F366" s="14"/>
      <c r="G366" s="14"/>
      <c r="H366" s="14"/>
      <c r="I366" s="14"/>
    </row>
    <row r="367" customFormat="false" ht="15" hidden="false" customHeight="false" outlineLevel="0" collapsed="false">
      <c r="A367" s="14" t="s">
        <v>279</v>
      </c>
      <c r="B367" s="14" t="s">
        <v>326</v>
      </c>
      <c r="C367" s="36" t="s">
        <v>281</v>
      </c>
      <c r="D367" s="52" t="n">
        <v>1</v>
      </c>
      <c r="E367" s="36" t="s">
        <v>282</v>
      </c>
      <c r="F367" s="52" t="n">
        <f aca="false">D367</f>
        <v>1</v>
      </c>
      <c r="G367" s="14" t="s">
        <v>283</v>
      </c>
      <c r="I367" s="36" t="s">
        <v>150</v>
      </c>
      <c r="J367" s="53" t="n">
        <f aca="false">J372</f>
        <v>8515.8</v>
      </c>
    </row>
    <row r="368" customFormat="false" ht="15" hidden="false" customHeight="false" outlineLevel="0" collapsed="false">
      <c r="A368" s="14" t="s">
        <v>284</v>
      </c>
      <c r="B368" s="14" t="s">
        <v>285</v>
      </c>
      <c r="F368" s="36" t="s">
        <v>123</v>
      </c>
      <c r="G368" s="36" t="s">
        <v>286</v>
      </c>
      <c r="H368" s="36" t="s">
        <v>287</v>
      </c>
      <c r="I368" s="36" t="s">
        <v>288</v>
      </c>
      <c r="J368" s="36" t="s">
        <v>289</v>
      </c>
    </row>
    <row r="369" customFormat="false" ht="15" hidden="false" customHeight="false" outlineLevel="0" collapsed="false">
      <c r="B369" s="54" t="s">
        <v>295</v>
      </c>
    </row>
    <row r="370" customFormat="false" ht="15" hidden="false" customHeight="false" outlineLevel="0" collapsed="false">
      <c r="B370" s="1" t="s">
        <v>398</v>
      </c>
      <c r="F370" s="55" t="s">
        <v>150</v>
      </c>
      <c r="G370" s="56"/>
      <c r="H370" s="57" t="n">
        <v>320</v>
      </c>
      <c r="I370" s="1" t="n">
        <v>25.42</v>
      </c>
      <c r="J370" s="28" t="n">
        <f aca="false">H370*I370</f>
        <v>8134.4</v>
      </c>
    </row>
    <row r="371" customFormat="false" ht="15" hidden="false" customHeight="false" outlineLevel="0" collapsed="false">
      <c r="B371" s="1" t="s">
        <v>399</v>
      </c>
      <c r="F371" s="55" t="s">
        <v>150</v>
      </c>
      <c r="H371" s="57" t="n">
        <v>10</v>
      </c>
      <c r="I371" s="1" t="n">
        <v>38.14</v>
      </c>
      <c r="J371" s="28" t="n">
        <f aca="false">H371*I371</f>
        <v>381.4</v>
      </c>
    </row>
    <row r="372" customFormat="false" ht="15" hidden="false" customHeight="false" outlineLevel="0" collapsed="false">
      <c r="A372" s="60"/>
      <c r="B372" s="60"/>
      <c r="C372" s="60"/>
      <c r="D372" s="60"/>
      <c r="E372" s="60"/>
      <c r="F372" s="62"/>
      <c r="G372" s="63"/>
      <c r="H372" s="64"/>
      <c r="I372" s="65"/>
      <c r="J372" s="61" t="n">
        <f aca="false">SUM(J370:J371)</f>
        <v>8515.8</v>
      </c>
    </row>
    <row r="373" customFormat="false" ht="15" hidden="false" customHeight="false" outlineLevel="0" collapsed="false">
      <c r="F373" s="55"/>
      <c r="H373" s="57"/>
      <c r="J373" s="28"/>
    </row>
    <row r="374" customFormat="false" ht="15" hidden="false" customHeight="false" outlineLevel="0" collapsed="false">
      <c r="A374" s="14" t="s">
        <v>334</v>
      </c>
      <c r="B374" s="14" t="str">
        <f aca="false">PROVISIONALES!A37</f>
        <v>1.3.1.7</v>
      </c>
      <c r="C374" s="14" t="s">
        <v>198</v>
      </c>
      <c r="D374" s="14"/>
      <c r="E374" s="14"/>
      <c r="F374" s="14"/>
      <c r="G374" s="14"/>
      <c r="H374" s="14"/>
      <c r="I374" s="14"/>
    </row>
    <row r="375" customFormat="false" ht="15" hidden="false" customHeight="false" outlineLevel="0" collapsed="false">
      <c r="A375" s="14" t="s">
        <v>279</v>
      </c>
      <c r="B375" s="14" t="s">
        <v>326</v>
      </c>
      <c r="C375" s="36" t="s">
        <v>281</v>
      </c>
      <c r="D375" s="52" t="n">
        <v>1</v>
      </c>
      <c r="E375" s="36" t="s">
        <v>282</v>
      </c>
      <c r="F375" s="52" t="n">
        <f aca="false">D375</f>
        <v>1</v>
      </c>
      <c r="G375" s="14" t="s">
        <v>283</v>
      </c>
      <c r="I375" s="36" t="s">
        <v>150</v>
      </c>
      <c r="J375" s="53" t="n">
        <f aca="false">J380</f>
        <v>29152.28</v>
      </c>
    </row>
    <row r="376" customFormat="false" ht="15" hidden="false" customHeight="false" outlineLevel="0" collapsed="false">
      <c r="A376" s="14" t="s">
        <v>284</v>
      </c>
      <c r="B376" s="14" t="s">
        <v>285</v>
      </c>
      <c r="F376" s="36" t="s">
        <v>123</v>
      </c>
      <c r="G376" s="36" t="s">
        <v>286</v>
      </c>
      <c r="H376" s="36" t="s">
        <v>287</v>
      </c>
      <c r="I376" s="36" t="s">
        <v>288</v>
      </c>
      <c r="J376" s="36" t="s">
        <v>289</v>
      </c>
    </row>
    <row r="377" customFormat="false" ht="15" hidden="false" customHeight="false" outlineLevel="0" collapsed="false">
      <c r="B377" s="54" t="s">
        <v>295</v>
      </c>
    </row>
    <row r="378" customFormat="false" ht="15" hidden="false" customHeight="false" outlineLevel="0" collapsed="false">
      <c r="B378" s="1" t="s">
        <v>400</v>
      </c>
      <c r="F378" s="55" t="s">
        <v>150</v>
      </c>
      <c r="G378" s="56"/>
      <c r="H378" s="57" t="n">
        <v>130</v>
      </c>
      <c r="I378" s="1" t="n">
        <v>169.49</v>
      </c>
      <c r="J378" s="28" t="n">
        <f aca="false">H378*I378</f>
        <v>22033.7</v>
      </c>
    </row>
    <row r="379" customFormat="false" ht="15" hidden="false" customHeight="false" outlineLevel="0" collapsed="false">
      <c r="B379" s="1" t="s">
        <v>400</v>
      </c>
      <c r="F379" s="55" t="s">
        <v>150</v>
      </c>
      <c r="H379" s="57" t="n">
        <v>42</v>
      </c>
      <c r="I379" s="1" t="n">
        <v>169.49</v>
      </c>
      <c r="J379" s="28" t="n">
        <f aca="false">H379*I379</f>
        <v>7118.58</v>
      </c>
    </row>
    <row r="380" customFormat="false" ht="15" hidden="false" customHeight="false" outlineLevel="0" collapsed="false">
      <c r="A380" s="60"/>
      <c r="B380" s="60"/>
      <c r="C380" s="60"/>
      <c r="D380" s="60"/>
      <c r="E380" s="60"/>
      <c r="F380" s="62"/>
      <c r="G380" s="63"/>
      <c r="H380" s="64"/>
      <c r="I380" s="65"/>
      <c r="J380" s="61" t="n">
        <f aca="false">SUM(J378:J379)</f>
        <v>29152.28</v>
      </c>
    </row>
    <row r="382" customFormat="false" ht="15" hidden="false" customHeight="false" outlineLevel="0" collapsed="false">
      <c r="A382" s="14" t="s">
        <v>278</v>
      </c>
      <c r="B382" s="14" t="str">
        <f aca="false">PROVISIONALES!A40</f>
        <v>1.4.1.1</v>
      </c>
      <c r="C382" s="14" t="s">
        <v>401</v>
      </c>
      <c r="D382" s="14"/>
      <c r="E382" s="14"/>
      <c r="F382" s="14"/>
      <c r="G382" s="14"/>
      <c r="H382" s="14"/>
      <c r="I382" s="14"/>
    </row>
    <row r="383" customFormat="false" ht="15" hidden="false" customHeight="false" outlineLevel="0" collapsed="false">
      <c r="A383" s="14" t="s">
        <v>279</v>
      </c>
      <c r="B383" s="14" t="s">
        <v>280</v>
      </c>
      <c r="C383" s="36" t="s">
        <v>281</v>
      </c>
      <c r="D383" s="52" t="n">
        <v>50</v>
      </c>
      <c r="E383" s="36" t="s">
        <v>282</v>
      </c>
      <c r="F383" s="52" t="n">
        <f aca="false">D383</f>
        <v>50</v>
      </c>
      <c r="G383" s="14" t="s">
        <v>283</v>
      </c>
      <c r="I383" s="36" t="s">
        <v>134</v>
      </c>
      <c r="J383" s="53" t="n">
        <f aca="false">J388++J393</f>
        <v>32.55584</v>
      </c>
    </row>
    <row r="384" customFormat="false" ht="15" hidden="false" customHeight="false" outlineLevel="0" collapsed="false">
      <c r="A384" s="14" t="s">
        <v>284</v>
      </c>
      <c r="B384" s="14" t="s">
        <v>285</v>
      </c>
      <c r="F384" s="36" t="s">
        <v>123</v>
      </c>
      <c r="G384" s="36" t="s">
        <v>286</v>
      </c>
      <c r="H384" s="36" t="s">
        <v>287</v>
      </c>
      <c r="I384" s="36" t="s">
        <v>288</v>
      </c>
      <c r="J384" s="36" t="s">
        <v>289</v>
      </c>
    </row>
    <row r="385" customFormat="false" ht="15" hidden="false" customHeight="false" outlineLevel="0" collapsed="false">
      <c r="B385" s="54" t="s">
        <v>290</v>
      </c>
    </row>
    <row r="386" customFormat="false" ht="15" hidden="false" customHeight="false" outlineLevel="0" collapsed="false">
      <c r="B386" s="1" t="s">
        <v>293</v>
      </c>
      <c r="F386" s="55" t="s">
        <v>292</v>
      </c>
      <c r="G386" s="56" t="n">
        <v>1</v>
      </c>
      <c r="H386" s="57" t="n">
        <f aca="false">G386*8/$D$383</f>
        <v>0.16</v>
      </c>
      <c r="I386" s="28" t="n">
        <v>22.66</v>
      </c>
      <c r="J386" s="28" t="n">
        <f aca="false">H386*I386</f>
        <v>3.6256</v>
      </c>
    </row>
    <row r="387" customFormat="false" ht="15" hidden="false" customHeight="false" outlineLevel="0" collapsed="false">
      <c r="B387" s="1" t="s">
        <v>294</v>
      </c>
      <c r="F387" s="55" t="s">
        <v>292</v>
      </c>
      <c r="G387" s="56" t="n">
        <v>2</v>
      </c>
      <c r="H387" s="57" t="n">
        <f aca="false">G387*8/$D$383</f>
        <v>0.32</v>
      </c>
      <c r="I387" s="28" t="n">
        <v>20.51</v>
      </c>
      <c r="J387" s="28" t="n">
        <f aca="false">H387*I387</f>
        <v>6.5632</v>
      </c>
    </row>
    <row r="388" customFormat="false" ht="15" hidden="false" customHeight="false" outlineLevel="0" collapsed="false">
      <c r="J388" s="53" t="n">
        <f aca="false">SUM(J386:J387)</f>
        <v>10.1888</v>
      </c>
    </row>
    <row r="389" customFormat="false" ht="15" hidden="false" customHeight="false" outlineLevel="0" collapsed="false">
      <c r="B389" s="54" t="s">
        <v>318</v>
      </c>
    </row>
    <row r="390" customFormat="false" ht="15" hidden="false" customHeight="false" outlineLevel="0" collapsed="false">
      <c r="B390" s="1" t="s">
        <v>311</v>
      </c>
      <c r="F390" s="55" t="s">
        <v>312</v>
      </c>
      <c r="H390" s="57" t="n">
        <v>5</v>
      </c>
      <c r="I390" s="28" t="n">
        <f aca="false">J388</f>
        <v>10.1888</v>
      </c>
      <c r="J390" s="28" t="n">
        <f aca="false">H390%*I390</f>
        <v>0.50944</v>
      </c>
    </row>
    <row r="391" customFormat="false" ht="15" hidden="false" customHeight="false" outlineLevel="0" collapsed="false">
      <c r="B391" s="1" t="s">
        <v>402</v>
      </c>
      <c r="F391" s="55" t="s">
        <v>338</v>
      </c>
      <c r="G391" s="56" t="n">
        <v>1</v>
      </c>
      <c r="H391" s="57" t="n">
        <f aca="false">G391*8/$D$383</f>
        <v>0.16</v>
      </c>
      <c r="I391" s="28" t="n">
        <v>85.76</v>
      </c>
      <c r="J391" s="28" t="n">
        <f aca="false">H391*I391</f>
        <v>13.7216</v>
      </c>
    </row>
    <row r="392" customFormat="false" ht="15" hidden="false" customHeight="false" outlineLevel="0" collapsed="false">
      <c r="B392" s="1" t="s">
        <v>403</v>
      </c>
      <c r="F392" s="55" t="s">
        <v>338</v>
      </c>
      <c r="G392" s="56" t="n">
        <v>5</v>
      </c>
      <c r="H392" s="57" t="n">
        <f aca="false">G392*8/$D$383</f>
        <v>0.8</v>
      </c>
      <c r="I392" s="28" t="n">
        <v>10.17</v>
      </c>
      <c r="J392" s="28" t="n">
        <f aca="false">H392*I392</f>
        <v>8.136</v>
      </c>
    </row>
    <row r="393" customFormat="false" ht="15" hidden="false" customHeight="false" outlineLevel="0" collapsed="false">
      <c r="A393" s="60"/>
      <c r="B393" s="60"/>
      <c r="C393" s="60"/>
      <c r="D393" s="60"/>
      <c r="E393" s="60"/>
      <c r="F393" s="60"/>
      <c r="G393" s="60"/>
      <c r="H393" s="60"/>
      <c r="I393" s="60"/>
      <c r="J393" s="61" t="n">
        <f aca="false">SUM(J390:J392)</f>
        <v>22.36704</v>
      </c>
    </row>
    <row r="395" customFormat="false" ht="15" hidden="false" customHeight="false" outlineLevel="0" collapsed="false">
      <c r="A395" s="14" t="s">
        <v>278</v>
      </c>
      <c r="B395" s="14" t="str">
        <f aca="false">PROVISIONALES!A41</f>
        <v>1.4.1.2</v>
      </c>
      <c r="C395" s="14" t="s">
        <v>404</v>
      </c>
      <c r="D395" s="14"/>
      <c r="E395" s="14"/>
      <c r="F395" s="14"/>
      <c r="G395" s="14"/>
      <c r="H395" s="14"/>
      <c r="I395" s="14"/>
    </row>
    <row r="396" customFormat="false" ht="15" hidden="false" customHeight="false" outlineLevel="0" collapsed="false">
      <c r="A396" s="14" t="s">
        <v>279</v>
      </c>
      <c r="B396" s="14" t="s">
        <v>326</v>
      </c>
      <c r="C396" s="36" t="s">
        <v>281</v>
      </c>
      <c r="D396" s="52" t="n">
        <v>6</v>
      </c>
      <c r="E396" s="36" t="s">
        <v>282</v>
      </c>
      <c r="F396" s="52" t="n">
        <f aca="false">D396</f>
        <v>6</v>
      </c>
      <c r="G396" s="14" t="s">
        <v>283</v>
      </c>
      <c r="I396" s="36" t="s">
        <v>150</v>
      </c>
      <c r="J396" s="53" t="n">
        <f aca="false">J401++J407+J410</f>
        <v>115.47972</v>
      </c>
    </row>
    <row r="397" customFormat="false" ht="15" hidden="false" customHeight="false" outlineLevel="0" collapsed="false">
      <c r="A397" s="14" t="s">
        <v>284</v>
      </c>
      <c r="B397" s="14" t="s">
        <v>285</v>
      </c>
      <c r="F397" s="36" t="s">
        <v>123</v>
      </c>
      <c r="G397" s="36" t="s">
        <v>286</v>
      </c>
      <c r="H397" s="36" t="s">
        <v>287</v>
      </c>
      <c r="I397" s="36" t="s">
        <v>288</v>
      </c>
      <c r="J397" s="36" t="s">
        <v>289</v>
      </c>
    </row>
    <row r="398" customFormat="false" ht="15" hidden="false" customHeight="false" outlineLevel="0" collapsed="false">
      <c r="B398" s="54" t="s">
        <v>290</v>
      </c>
    </row>
    <row r="399" customFormat="false" ht="15" hidden="false" customHeight="false" outlineLevel="0" collapsed="false">
      <c r="B399" s="1" t="s">
        <v>405</v>
      </c>
      <c r="F399" s="55" t="s">
        <v>292</v>
      </c>
      <c r="G399" s="56" t="n">
        <v>1</v>
      </c>
      <c r="H399" s="57" t="n">
        <f aca="false">G399*8/$D$396</f>
        <v>1.33333333333333</v>
      </c>
      <c r="I399" s="28" t="n">
        <v>28.94</v>
      </c>
      <c r="J399" s="28" t="n">
        <f aca="false">H399*I399</f>
        <v>38.5866666666667</v>
      </c>
    </row>
    <row r="400" customFormat="false" ht="15" hidden="false" customHeight="false" outlineLevel="0" collapsed="false">
      <c r="B400" s="1" t="s">
        <v>294</v>
      </c>
      <c r="F400" s="55" t="s">
        <v>292</v>
      </c>
      <c r="G400" s="56" t="n">
        <v>1</v>
      </c>
      <c r="H400" s="57" t="n">
        <f aca="false">G400*8/$D$396</f>
        <v>1.33333333333333</v>
      </c>
      <c r="I400" s="28" t="n">
        <v>20.51</v>
      </c>
      <c r="J400" s="28" t="n">
        <f aca="false">H400*I400</f>
        <v>27.3466666666667</v>
      </c>
    </row>
    <row r="401" customFormat="false" ht="15" hidden="false" customHeight="false" outlineLevel="0" collapsed="false">
      <c r="J401" s="53" t="n">
        <f aca="false">SUM(J399:J400)</f>
        <v>65.9333333333333</v>
      </c>
    </row>
    <row r="402" customFormat="false" ht="15" hidden="false" customHeight="false" outlineLevel="0" collapsed="false">
      <c r="B402" s="54" t="s">
        <v>295</v>
      </c>
    </row>
    <row r="403" customFormat="false" ht="15" hidden="false" customHeight="false" outlineLevel="0" collapsed="false">
      <c r="B403" s="1" t="s">
        <v>406</v>
      </c>
      <c r="F403" s="55" t="s">
        <v>150</v>
      </c>
      <c r="H403" s="57" t="n">
        <v>1</v>
      </c>
      <c r="I403" s="28" t="n">
        <v>10.85</v>
      </c>
      <c r="J403" s="28" t="n">
        <f aca="false">H403*I403</f>
        <v>10.85</v>
      </c>
    </row>
    <row r="404" customFormat="false" ht="15" hidden="false" customHeight="false" outlineLevel="0" collapsed="false">
      <c r="B404" s="1" t="s">
        <v>302</v>
      </c>
      <c r="F404" s="55" t="s">
        <v>297</v>
      </c>
      <c r="G404" s="56"/>
      <c r="H404" s="57" t="n">
        <v>0.012</v>
      </c>
      <c r="I404" s="28" t="n">
        <v>5.51</v>
      </c>
      <c r="J404" s="28" t="n">
        <f aca="false">H404*I404</f>
        <v>0.06612</v>
      </c>
    </row>
    <row r="405" customFormat="false" ht="15" hidden="false" customHeight="false" outlineLevel="0" collapsed="false">
      <c r="B405" s="1" t="s">
        <v>407</v>
      </c>
      <c r="F405" s="55" t="s">
        <v>204</v>
      </c>
      <c r="G405" s="56"/>
      <c r="H405" s="57" t="n">
        <v>0.08</v>
      </c>
      <c r="I405" s="28" t="n">
        <v>70.92</v>
      </c>
      <c r="J405" s="28" t="n">
        <f aca="false">H405*I405</f>
        <v>5.6736</v>
      </c>
    </row>
    <row r="406" customFormat="false" ht="15" hidden="false" customHeight="false" outlineLevel="0" collapsed="false">
      <c r="B406" s="1" t="s">
        <v>408</v>
      </c>
      <c r="F406" s="55" t="s">
        <v>150</v>
      </c>
      <c r="H406" s="1" t="n">
        <v>1</v>
      </c>
      <c r="I406" s="1" t="n">
        <v>29.66</v>
      </c>
      <c r="J406" s="28" t="n">
        <f aca="false">H406*I406</f>
        <v>29.66</v>
      </c>
    </row>
    <row r="407" customFormat="false" ht="15" hidden="false" customHeight="false" outlineLevel="0" collapsed="false">
      <c r="J407" s="53" t="n">
        <f aca="false">SUM(J403:J406)</f>
        <v>46.24972</v>
      </c>
    </row>
    <row r="408" customFormat="false" ht="15" hidden="false" customHeight="false" outlineLevel="0" collapsed="false">
      <c r="B408" s="54" t="s">
        <v>318</v>
      </c>
    </row>
    <row r="409" customFormat="false" ht="15" hidden="false" customHeight="false" outlineLevel="0" collapsed="false">
      <c r="B409" s="1" t="s">
        <v>311</v>
      </c>
      <c r="F409" s="55" t="s">
        <v>312</v>
      </c>
      <c r="H409" s="57" t="n">
        <v>5</v>
      </c>
      <c r="I409" s="28" t="n">
        <f aca="false">J401</f>
        <v>65.9333333333333</v>
      </c>
      <c r="J409" s="28" t="n">
        <f aca="false">H409%*I409</f>
        <v>3.29666666666667</v>
      </c>
    </row>
    <row r="410" customFormat="false" ht="15" hidden="false" customHeight="false" outlineLevel="0" collapsed="false">
      <c r="A410" s="60"/>
      <c r="B410" s="60"/>
      <c r="C410" s="60"/>
      <c r="D410" s="60"/>
      <c r="E410" s="60"/>
      <c r="F410" s="60"/>
      <c r="G410" s="60"/>
      <c r="H410" s="60"/>
      <c r="I410" s="60"/>
      <c r="J410" s="61" t="n">
        <f aca="false">SUM(J409)</f>
        <v>3.29666666666667</v>
      </c>
    </row>
    <row r="412" customFormat="false" ht="15" hidden="false" customHeight="false" outlineLevel="0" collapsed="false">
      <c r="A412" s="14" t="s">
        <v>334</v>
      </c>
      <c r="B412" s="14" t="str">
        <f aca="false">PROVISIONALES!A43</f>
        <v>1.4.2.1</v>
      </c>
      <c r="C412" s="14" t="s">
        <v>409</v>
      </c>
      <c r="D412" s="14"/>
      <c r="E412" s="14"/>
      <c r="F412" s="14"/>
      <c r="G412" s="14"/>
      <c r="H412" s="14"/>
      <c r="I412" s="14"/>
    </row>
    <row r="413" customFormat="false" ht="15" hidden="false" customHeight="false" outlineLevel="0" collapsed="false">
      <c r="A413" s="14" t="s">
        <v>279</v>
      </c>
      <c r="B413" s="14" t="s">
        <v>332</v>
      </c>
      <c r="C413" s="36" t="s">
        <v>281</v>
      </c>
      <c r="D413" s="52" t="n">
        <v>1</v>
      </c>
      <c r="E413" s="36" t="s">
        <v>282</v>
      </c>
      <c r="F413" s="52" t="n">
        <f aca="false">D413</f>
        <v>1</v>
      </c>
      <c r="G413" s="14" t="s">
        <v>283</v>
      </c>
      <c r="I413" s="36" t="s">
        <v>155</v>
      </c>
      <c r="J413" s="53" t="n">
        <f aca="false">J419</f>
        <v>135.964</v>
      </c>
    </row>
    <row r="414" customFormat="false" ht="15" hidden="false" customHeight="false" outlineLevel="0" collapsed="false">
      <c r="A414" s="14" t="s">
        <v>284</v>
      </c>
      <c r="B414" s="14" t="s">
        <v>285</v>
      </c>
      <c r="F414" s="36" t="s">
        <v>123</v>
      </c>
      <c r="G414" s="36" t="s">
        <v>286</v>
      </c>
      <c r="H414" s="36" t="s">
        <v>287</v>
      </c>
      <c r="I414" s="36" t="s">
        <v>288</v>
      </c>
      <c r="J414" s="36" t="s">
        <v>289</v>
      </c>
    </row>
    <row r="415" customFormat="false" ht="15" hidden="false" customHeight="false" outlineLevel="0" collapsed="false">
      <c r="B415" s="54" t="s">
        <v>295</v>
      </c>
    </row>
    <row r="416" customFormat="false" ht="15" hidden="false" customHeight="false" outlineLevel="0" collapsed="false">
      <c r="B416" s="1" t="s">
        <v>410</v>
      </c>
      <c r="F416" s="55" t="s">
        <v>150</v>
      </c>
      <c r="G416" s="56"/>
      <c r="H416" s="57" t="n">
        <v>80</v>
      </c>
      <c r="I416" s="1" t="n">
        <v>0.42</v>
      </c>
      <c r="J416" s="28" t="n">
        <f aca="false">H416*I416</f>
        <v>33.6</v>
      </c>
    </row>
    <row r="417" customFormat="false" ht="15" hidden="false" customHeight="false" outlineLevel="0" collapsed="false">
      <c r="B417" s="1" t="s">
        <v>411</v>
      </c>
      <c r="F417" s="55" t="s">
        <v>150</v>
      </c>
      <c r="H417" s="57" t="n">
        <v>80</v>
      </c>
      <c r="I417" s="1" t="n">
        <v>1.1</v>
      </c>
      <c r="J417" s="28" t="n">
        <f aca="false">H417*I417</f>
        <v>88</v>
      </c>
    </row>
    <row r="418" customFormat="false" ht="15" hidden="false" customHeight="false" outlineLevel="0" collapsed="false">
      <c r="B418" s="1" t="s">
        <v>412</v>
      </c>
      <c r="F418" s="55" t="s">
        <v>150</v>
      </c>
      <c r="H418" s="57" t="n">
        <v>0.05</v>
      </c>
      <c r="I418" s="1" t="n">
        <v>287.28</v>
      </c>
      <c r="J418" s="28" t="n">
        <f aca="false">H418*I418</f>
        <v>14.364</v>
      </c>
    </row>
    <row r="419" customFormat="false" ht="15" hidden="false" customHeight="false" outlineLevel="0" collapsed="false">
      <c r="A419" s="60"/>
      <c r="B419" s="60"/>
      <c r="C419" s="60"/>
      <c r="D419" s="60"/>
      <c r="E419" s="60"/>
      <c r="F419" s="62"/>
      <c r="G419" s="63"/>
      <c r="H419" s="64"/>
      <c r="I419" s="65"/>
      <c r="J419" s="61" t="n">
        <f aca="false">SUM(J416:J418)</f>
        <v>135.964</v>
      </c>
    </row>
    <row r="421" customFormat="false" ht="15" hidden="false" customHeight="false" outlineLevel="0" collapsed="false">
      <c r="A421" s="14" t="s">
        <v>334</v>
      </c>
      <c r="B421" s="14" t="str">
        <f aca="false">PROVISIONALES!A45</f>
        <v>1.4.3.1</v>
      </c>
      <c r="C421" s="14" t="s">
        <v>413</v>
      </c>
      <c r="D421" s="14"/>
      <c r="E421" s="14"/>
      <c r="F421" s="14"/>
      <c r="G421" s="14"/>
      <c r="H421" s="14"/>
      <c r="I421" s="14"/>
    </row>
    <row r="422" customFormat="false" ht="15" hidden="false" customHeight="false" outlineLevel="0" collapsed="false">
      <c r="A422" s="14" t="s">
        <v>279</v>
      </c>
      <c r="B422" s="14" t="s">
        <v>414</v>
      </c>
      <c r="C422" s="36" t="s">
        <v>281</v>
      </c>
      <c r="D422" s="52" t="n">
        <v>1</v>
      </c>
      <c r="E422" s="36" t="s">
        <v>282</v>
      </c>
      <c r="F422" s="52" t="n">
        <f aca="false">D422</f>
        <v>1</v>
      </c>
      <c r="G422" s="14" t="s">
        <v>283</v>
      </c>
      <c r="I422" s="36" t="s">
        <v>215</v>
      </c>
      <c r="J422" s="53" t="n">
        <f aca="false">J426</f>
        <v>1915.25</v>
      </c>
    </row>
    <row r="423" customFormat="false" ht="15" hidden="false" customHeight="false" outlineLevel="0" collapsed="false">
      <c r="A423" s="14" t="s">
        <v>284</v>
      </c>
      <c r="B423" s="14" t="s">
        <v>285</v>
      </c>
      <c r="F423" s="36" t="s">
        <v>123</v>
      </c>
      <c r="G423" s="36" t="s">
        <v>286</v>
      </c>
      <c r="H423" s="36" t="s">
        <v>287</v>
      </c>
      <c r="I423" s="36" t="s">
        <v>288</v>
      </c>
      <c r="J423" s="36" t="s">
        <v>289</v>
      </c>
    </row>
    <row r="424" customFormat="false" ht="15" hidden="false" customHeight="false" outlineLevel="0" collapsed="false">
      <c r="B424" s="54" t="s">
        <v>295</v>
      </c>
    </row>
    <row r="425" customFormat="false" ht="15" hidden="false" customHeight="false" outlineLevel="0" collapsed="false">
      <c r="B425" s="1" t="s">
        <v>415</v>
      </c>
      <c r="F425" s="55" t="s">
        <v>150</v>
      </c>
      <c r="G425" s="56"/>
      <c r="H425" s="57" t="n">
        <v>1</v>
      </c>
      <c r="I425" s="1" t="n">
        <v>1915.25</v>
      </c>
      <c r="J425" s="28" t="n">
        <f aca="false">H425*I425</f>
        <v>1915.25</v>
      </c>
    </row>
    <row r="426" customFormat="false" ht="15" hidden="false" customHeight="false" outlineLevel="0" collapsed="false">
      <c r="A426" s="60"/>
      <c r="B426" s="60"/>
      <c r="C426" s="60"/>
      <c r="D426" s="60"/>
      <c r="E426" s="60"/>
      <c r="F426" s="62"/>
      <c r="G426" s="63"/>
      <c r="H426" s="64"/>
      <c r="I426" s="65"/>
      <c r="J426" s="61" t="n">
        <f aca="false">SUM(J425)</f>
        <v>1915.25</v>
      </c>
    </row>
    <row r="427" customFormat="false" ht="15" hidden="false" customHeight="false" outlineLevel="0" collapsed="false">
      <c r="F427" s="55"/>
      <c r="G427" s="56"/>
      <c r="H427" s="57"/>
      <c r="I427" s="28"/>
      <c r="J427" s="53"/>
    </row>
    <row r="428" customFormat="false" ht="15" hidden="false" customHeight="false" outlineLevel="0" collapsed="false">
      <c r="A428" s="14" t="s">
        <v>278</v>
      </c>
      <c r="B428" s="14" t="str">
        <f aca="false">PROVISIONALES!A48</f>
        <v>1.4.4.1.1</v>
      </c>
      <c r="C428" s="14" t="s">
        <v>221</v>
      </c>
      <c r="D428" s="14"/>
      <c r="E428" s="14"/>
      <c r="F428" s="14"/>
      <c r="G428" s="14"/>
      <c r="H428" s="14"/>
      <c r="I428" s="14"/>
    </row>
    <row r="429" customFormat="false" ht="15" hidden="false" customHeight="false" outlineLevel="0" collapsed="false">
      <c r="A429" s="14" t="s">
        <v>279</v>
      </c>
      <c r="B429" s="14" t="s">
        <v>326</v>
      </c>
      <c r="C429" s="36" t="s">
        <v>281</v>
      </c>
      <c r="D429" s="52" t="n">
        <v>7.5</v>
      </c>
      <c r="E429" s="36" t="s">
        <v>282</v>
      </c>
      <c r="F429" s="52" t="n">
        <f aca="false">D429</f>
        <v>7.5</v>
      </c>
      <c r="G429" s="14" t="s">
        <v>283</v>
      </c>
      <c r="I429" s="36" t="s">
        <v>150</v>
      </c>
      <c r="J429" s="53" t="n">
        <f aca="false">J433++J436+J439</f>
        <v>167.0412</v>
      </c>
    </row>
    <row r="430" customFormat="false" ht="15" hidden="false" customHeight="false" outlineLevel="0" collapsed="false">
      <c r="A430" s="14" t="s">
        <v>284</v>
      </c>
      <c r="B430" s="14" t="s">
        <v>285</v>
      </c>
      <c r="F430" s="36" t="s">
        <v>123</v>
      </c>
      <c r="G430" s="36" t="s">
        <v>286</v>
      </c>
      <c r="H430" s="36" t="s">
        <v>287</v>
      </c>
      <c r="I430" s="36" t="s">
        <v>288</v>
      </c>
      <c r="J430" s="36" t="s">
        <v>289</v>
      </c>
    </row>
    <row r="431" customFormat="false" ht="15" hidden="false" customHeight="false" outlineLevel="0" collapsed="false">
      <c r="B431" s="54" t="s">
        <v>290</v>
      </c>
    </row>
    <row r="432" customFormat="false" ht="15" hidden="false" customHeight="false" outlineLevel="0" collapsed="false">
      <c r="B432" s="1" t="s">
        <v>294</v>
      </c>
      <c r="F432" s="55" t="s">
        <v>292</v>
      </c>
      <c r="G432" s="56" t="n">
        <v>1</v>
      </c>
      <c r="H432" s="57" t="n">
        <f aca="false">G432*8/$D$429</f>
        <v>1.06666666666667</v>
      </c>
      <c r="I432" s="28" t="n">
        <v>20.51</v>
      </c>
      <c r="J432" s="28" t="n">
        <f aca="false">H432*I432</f>
        <v>21.8773333333333</v>
      </c>
    </row>
    <row r="433" customFormat="false" ht="15" hidden="false" customHeight="false" outlineLevel="0" collapsed="false">
      <c r="J433" s="53" t="n">
        <f aca="false">SUM(J432:J432)</f>
        <v>21.8773333333333</v>
      </c>
    </row>
    <row r="434" customFormat="false" ht="15" hidden="false" customHeight="false" outlineLevel="0" collapsed="false">
      <c r="B434" s="54" t="s">
        <v>295</v>
      </c>
    </row>
    <row r="435" customFormat="false" ht="15" hidden="false" customHeight="false" outlineLevel="0" collapsed="false">
      <c r="B435" s="1" t="s">
        <v>416</v>
      </c>
      <c r="F435" s="55" t="s">
        <v>150</v>
      </c>
      <c r="H435" s="56" t="n">
        <v>1</v>
      </c>
      <c r="I435" s="57" t="n">
        <v>144.07</v>
      </c>
      <c r="J435" s="28" t="n">
        <f aca="false">H435*I435</f>
        <v>144.07</v>
      </c>
    </row>
    <row r="436" customFormat="false" ht="15" hidden="false" customHeight="false" outlineLevel="0" collapsed="false">
      <c r="J436" s="53" t="n">
        <f aca="false">SUM(J435:J435)</f>
        <v>144.07</v>
      </c>
    </row>
    <row r="437" customFormat="false" ht="15" hidden="false" customHeight="false" outlineLevel="0" collapsed="false">
      <c r="B437" s="54" t="s">
        <v>318</v>
      </c>
    </row>
    <row r="438" customFormat="false" ht="15" hidden="false" customHeight="false" outlineLevel="0" collapsed="false">
      <c r="B438" s="1" t="s">
        <v>311</v>
      </c>
      <c r="F438" s="55" t="s">
        <v>312</v>
      </c>
      <c r="H438" s="57" t="n">
        <v>5</v>
      </c>
      <c r="I438" s="28" t="n">
        <f aca="false">J433</f>
        <v>21.8773333333333</v>
      </c>
      <c r="J438" s="28" t="n">
        <f aca="false">H438%*I438</f>
        <v>1.09386666666667</v>
      </c>
    </row>
    <row r="439" customFormat="false" ht="15" hidden="false" customHeight="false" outlineLevel="0" collapsed="false">
      <c r="A439" s="60"/>
      <c r="B439" s="60"/>
      <c r="C439" s="60"/>
      <c r="D439" s="60"/>
      <c r="E439" s="60"/>
      <c r="F439" s="60"/>
      <c r="G439" s="60"/>
      <c r="H439" s="60"/>
      <c r="I439" s="60"/>
      <c r="J439" s="61" t="n">
        <f aca="false">SUM(J438:J438)</f>
        <v>1.09386666666667</v>
      </c>
    </row>
    <row r="441" customFormat="false" ht="15" hidden="false" customHeight="false" outlineLevel="0" collapsed="false">
      <c r="A441" s="14" t="s">
        <v>278</v>
      </c>
      <c r="B441" s="14" t="str">
        <f aca="false">PROVISIONALES!A49</f>
        <v>1.4.4.1.2</v>
      </c>
      <c r="C441" s="14" t="s">
        <v>223</v>
      </c>
      <c r="D441" s="14"/>
      <c r="E441" s="14"/>
      <c r="F441" s="14"/>
      <c r="G441" s="14"/>
      <c r="H441" s="14"/>
      <c r="I441" s="14"/>
    </row>
    <row r="442" customFormat="false" ht="15" hidden="false" customHeight="false" outlineLevel="0" collapsed="false">
      <c r="A442" s="14" t="s">
        <v>279</v>
      </c>
      <c r="B442" s="14" t="s">
        <v>417</v>
      </c>
      <c r="C442" s="36" t="s">
        <v>281</v>
      </c>
      <c r="D442" s="52" t="n">
        <v>45</v>
      </c>
      <c r="E442" s="36" t="s">
        <v>282</v>
      </c>
      <c r="F442" s="52" t="n">
        <f aca="false">D442</f>
        <v>45</v>
      </c>
      <c r="G442" s="14" t="s">
        <v>283</v>
      </c>
      <c r="I442" s="36" t="s">
        <v>204</v>
      </c>
      <c r="J442" s="53" t="n">
        <f aca="false">J446++J454+J457</f>
        <v>163.192133333333</v>
      </c>
    </row>
    <row r="443" customFormat="false" ht="15" hidden="false" customHeight="false" outlineLevel="0" collapsed="false">
      <c r="A443" s="14" t="s">
        <v>284</v>
      </c>
      <c r="B443" s="14" t="s">
        <v>285</v>
      </c>
      <c r="F443" s="36" t="s">
        <v>123</v>
      </c>
      <c r="G443" s="36" t="s">
        <v>286</v>
      </c>
      <c r="H443" s="36" t="s">
        <v>287</v>
      </c>
      <c r="I443" s="36" t="s">
        <v>288</v>
      </c>
      <c r="J443" s="36" t="s">
        <v>289</v>
      </c>
    </row>
    <row r="444" customFormat="false" ht="15" hidden="false" customHeight="false" outlineLevel="0" collapsed="false">
      <c r="B444" s="54" t="s">
        <v>290</v>
      </c>
    </row>
    <row r="445" customFormat="false" ht="15" hidden="false" customHeight="false" outlineLevel="0" collapsed="false">
      <c r="B445" s="1" t="s">
        <v>294</v>
      </c>
      <c r="F445" s="55" t="s">
        <v>292</v>
      </c>
      <c r="G445" s="56" t="n">
        <v>4</v>
      </c>
      <c r="H445" s="57" t="n">
        <f aca="false">G445*8/$D$442</f>
        <v>0.711111111111111</v>
      </c>
      <c r="I445" s="28" t="n">
        <v>20.51</v>
      </c>
      <c r="J445" s="28" t="n">
        <f aca="false">H445*I445</f>
        <v>14.5848888888889</v>
      </c>
    </row>
    <row r="446" customFormat="false" ht="15" hidden="false" customHeight="false" outlineLevel="0" collapsed="false">
      <c r="J446" s="53" t="n">
        <f aca="false">SUM(J445:J445)</f>
        <v>14.5848888888889</v>
      </c>
    </row>
    <row r="447" customFormat="false" ht="15" hidden="false" customHeight="false" outlineLevel="0" collapsed="false">
      <c r="B447" s="54" t="s">
        <v>295</v>
      </c>
    </row>
    <row r="448" customFormat="false" ht="15" hidden="false" customHeight="false" outlineLevel="0" collapsed="false">
      <c r="B448" s="1" t="s">
        <v>418</v>
      </c>
      <c r="F448" s="55" t="s">
        <v>150</v>
      </c>
      <c r="G448" s="56"/>
      <c r="H448" s="57" t="n">
        <v>2</v>
      </c>
      <c r="I448" s="28" t="n">
        <v>29.66</v>
      </c>
      <c r="J448" s="28" t="n">
        <f aca="false">H448*I448</f>
        <v>59.32</v>
      </c>
    </row>
    <row r="449" customFormat="false" ht="15" hidden="false" customHeight="false" outlineLevel="0" collapsed="false">
      <c r="B449" s="1" t="s">
        <v>419</v>
      </c>
      <c r="F449" s="55" t="s">
        <v>420</v>
      </c>
      <c r="G449" s="56"/>
      <c r="H449" s="57" t="n">
        <v>5</v>
      </c>
      <c r="I449" s="28" t="n">
        <v>8.9</v>
      </c>
      <c r="J449" s="28" t="n">
        <f aca="false">H449*I449</f>
        <v>44.5</v>
      </c>
    </row>
    <row r="450" customFormat="false" ht="15" hidden="false" customHeight="false" outlineLevel="0" collapsed="false">
      <c r="B450" s="1" t="s">
        <v>421</v>
      </c>
      <c r="F450" s="55" t="s">
        <v>150</v>
      </c>
      <c r="H450" s="57" t="n">
        <v>3</v>
      </c>
      <c r="I450" s="28" t="n">
        <v>3.39</v>
      </c>
      <c r="J450" s="28" t="n">
        <f aca="false">H450*I450</f>
        <v>10.17</v>
      </c>
    </row>
    <row r="451" customFormat="false" ht="15" hidden="false" customHeight="false" outlineLevel="0" collapsed="false">
      <c r="B451" s="1" t="s">
        <v>422</v>
      </c>
      <c r="F451" s="55" t="s">
        <v>150</v>
      </c>
      <c r="G451" s="56"/>
      <c r="H451" s="57" t="n">
        <v>2</v>
      </c>
      <c r="I451" s="28" t="n">
        <v>8.47</v>
      </c>
      <c r="J451" s="28" t="n">
        <f aca="false">H451*I451</f>
        <v>16.94</v>
      </c>
    </row>
    <row r="452" customFormat="false" ht="15" hidden="false" customHeight="false" outlineLevel="0" collapsed="false">
      <c r="B452" s="1" t="s">
        <v>423</v>
      </c>
      <c r="F452" s="55" t="s">
        <v>150</v>
      </c>
      <c r="H452" s="57" t="n">
        <v>0.1</v>
      </c>
      <c r="I452" s="28" t="n">
        <v>55.08</v>
      </c>
      <c r="J452" s="28" t="n">
        <f aca="false">H452*I452</f>
        <v>5.508</v>
      </c>
    </row>
    <row r="453" customFormat="false" ht="15" hidden="false" customHeight="false" outlineLevel="0" collapsed="false">
      <c r="B453" s="1" t="s">
        <v>424</v>
      </c>
      <c r="F453" s="55" t="s">
        <v>150</v>
      </c>
      <c r="H453" s="57" t="n">
        <v>0.5</v>
      </c>
      <c r="I453" s="28" t="n">
        <v>22.88</v>
      </c>
      <c r="J453" s="28" t="n">
        <f aca="false">H453*I453</f>
        <v>11.44</v>
      </c>
    </row>
    <row r="454" customFormat="false" ht="15" hidden="false" customHeight="false" outlineLevel="0" collapsed="false">
      <c r="J454" s="53" t="n">
        <f aca="false">SUM(J448:J453)</f>
        <v>147.878</v>
      </c>
    </row>
    <row r="455" customFormat="false" ht="15" hidden="false" customHeight="false" outlineLevel="0" collapsed="false">
      <c r="B455" s="54" t="s">
        <v>310</v>
      </c>
    </row>
    <row r="456" customFormat="false" ht="15" hidden="false" customHeight="false" outlineLevel="0" collapsed="false">
      <c r="B456" s="1" t="s">
        <v>311</v>
      </c>
      <c r="F456" s="55" t="s">
        <v>312</v>
      </c>
      <c r="H456" s="57" t="n">
        <v>5</v>
      </c>
      <c r="I456" s="28" t="n">
        <f aca="false">J446</f>
        <v>14.5848888888889</v>
      </c>
      <c r="J456" s="28" t="n">
        <f aca="false">H456%*I456</f>
        <v>0.729244444444445</v>
      </c>
    </row>
    <row r="457" customFormat="false" ht="15" hidden="false" customHeight="false" outlineLevel="0" collapsed="false">
      <c r="A457" s="60"/>
      <c r="B457" s="60"/>
      <c r="C457" s="60"/>
      <c r="D457" s="60"/>
      <c r="E457" s="60"/>
      <c r="F457" s="60"/>
      <c r="G457" s="60"/>
      <c r="H457" s="60"/>
      <c r="I457" s="60"/>
      <c r="J457" s="61" t="n">
        <f aca="false">SUM(J456)</f>
        <v>0.729244444444445</v>
      </c>
    </row>
    <row r="459" customFormat="false" ht="15" hidden="false" customHeight="false" outlineLevel="0" collapsed="false">
      <c r="A459" s="14" t="s">
        <v>334</v>
      </c>
      <c r="B459" s="14" t="str">
        <f aca="false">PROVISIONALES!A50</f>
        <v>1.4.4.1.3</v>
      </c>
      <c r="C459" s="14" t="s">
        <v>225</v>
      </c>
      <c r="D459" s="14"/>
      <c r="E459" s="14"/>
      <c r="F459" s="14"/>
      <c r="G459" s="14"/>
      <c r="H459" s="14"/>
      <c r="I459" s="14"/>
    </row>
    <row r="460" customFormat="false" ht="15" hidden="false" customHeight="false" outlineLevel="0" collapsed="false">
      <c r="A460" s="14" t="s">
        <v>279</v>
      </c>
      <c r="B460" s="14" t="s">
        <v>417</v>
      </c>
      <c r="C460" s="36" t="s">
        <v>281</v>
      </c>
      <c r="D460" s="52" t="n">
        <v>1</v>
      </c>
      <c r="E460" s="36" t="s">
        <v>282</v>
      </c>
      <c r="F460" s="52" t="n">
        <f aca="false">D460</f>
        <v>1</v>
      </c>
      <c r="G460" s="14" t="s">
        <v>283</v>
      </c>
      <c r="I460" s="36" t="s">
        <v>204</v>
      </c>
      <c r="J460" s="53" t="n">
        <f aca="false">J464</f>
        <v>406.78</v>
      </c>
    </row>
    <row r="461" customFormat="false" ht="15" hidden="false" customHeight="false" outlineLevel="0" collapsed="false">
      <c r="A461" s="14" t="s">
        <v>284</v>
      </c>
      <c r="B461" s="14" t="s">
        <v>285</v>
      </c>
      <c r="F461" s="36" t="s">
        <v>123</v>
      </c>
      <c r="G461" s="36" t="s">
        <v>286</v>
      </c>
      <c r="H461" s="36" t="s">
        <v>287</v>
      </c>
      <c r="I461" s="36" t="s">
        <v>288</v>
      </c>
      <c r="J461" s="36" t="s">
        <v>289</v>
      </c>
    </row>
    <row r="462" customFormat="false" ht="15" hidden="false" customHeight="false" outlineLevel="0" collapsed="false">
      <c r="B462" s="54" t="s">
        <v>295</v>
      </c>
    </row>
    <row r="463" customFormat="false" ht="15" hidden="false" customHeight="false" outlineLevel="0" collapsed="false">
      <c r="B463" s="1" t="s">
        <v>425</v>
      </c>
      <c r="F463" s="55" t="s">
        <v>426</v>
      </c>
      <c r="G463" s="56"/>
      <c r="H463" s="57" t="n">
        <v>1</v>
      </c>
      <c r="I463" s="1" t="n">
        <v>406.78</v>
      </c>
      <c r="J463" s="28" t="n">
        <f aca="false">H463*I463</f>
        <v>406.78</v>
      </c>
    </row>
    <row r="464" customFormat="false" ht="15" hidden="false" customHeight="false" outlineLevel="0" collapsed="false">
      <c r="A464" s="60"/>
      <c r="B464" s="60"/>
      <c r="C464" s="60"/>
      <c r="D464" s="60"/>
      <c r="E464" s="60"/>
      <c r="F464" s="62"/>
      <c r="G464" s="63"/>
      <c r="H464" s="64"/>
      <c r="I464" s="65"/>
      <c r="J464" s="61" t="n">
        <f aca="false">SUM(J463)</f>
        <v>406.78</v>
      </c>
    </row>
    <row r="466" customFormat="false" ht="15" hidden="false" customHeight="false" outlineLevel="0" collapsed="false">
      <c r="A466" s="14" t="s">
        <v>278</v>
      </c>
      <c r="B466" s="14" t="str">
        <f aca="false">PROVISIONALES!A52</f>
        <v>1.4.4.2.1</v>
      </c>
      <c r="C466" s="14" t="s">
        <v>427</v>
      </c>
      <c r="D466" s="14"/>
      <c r="E466" s="14"/>
      <c r="F466" s="14"/>
      <c r="G466" s="14"/>
      <c r="H466" s="14"/>
      <c r="I466" s="14"/>
    </row>
    <row r="467" customFormat="false" ht="15" hidden="false" customHeight="false" outlineLevel="0" collapsed="false">
      <c r="A467" s="14" t="s">
        <v>279</v>
      </c>
      <c r="B467" s="14" t="s">
        <v>280</v>
      </c>
      <c r="C467" s="36" t="s">
        <v>281</v>
      </c>
      <c r="D467" s="52" t="n">
        <v>30</v>
      </c>
      <c r="E467" s="36" t="s">
        <v>282</v>
      </c>
      <c r="F467" s="52" t="n">
        <f aca="false">D467</f>
        <v>30</v>
      </c>
      <c r="G467" s="14" t="s">
        <v>283</v>
      </c>
      <c r="I467" s="36" t="s">
        <v>134</v>
      </c>
      <c r="J467" s="53" t="n">
        <f aca="false">J473++J481+J484</f>
        <v>80.19009</v>
      </c>
    </row>
    <row r="468" customFormat="false" ht="15" hidden="false" customHeight="false" outlineLevel="0" collapsed="false">
      <c r="A468" s="14" t="s">
        <v>284</v>
      </c>
      <c r="B468" s="14" t="s">
        <v>285</v>
      </c>
      <c r="F468" s="36" t="s">
        <v>123</v>
      </c>
      <c r="G468" s="36" t="s">
        <v>286</v>
      </c>
      <c r="H468" s="36" t="s">
        <v>287</v>
      </c>
      <c r="I468" s="36" t="s">
        <v>288</v>
      </c>
      <c r="J468" s="36" t="s">
        <v>289</v>
      </c>
    </row>
    <row r="469" customFormat="false" ht="15" hidden="false" customHeight="false" outlineLevel="0" collapsed="false">
      <c r="B469" s="54" t="s">
        <v>290</v>
      </c>
    </row>
    <row r="470" customFormat="false" ht="15" hidden="false" customHeight="false" outlineLevel="0" collapsed="false">
      <c r="B470" s="1" t="s">
        <v>291</v>
      </c>
      <c r="F470" s="55" t="s">
        <v>292</v>
      </c>
      <c r="G470" s="56" t="n">
        <v>1</v>
      </c>
      <c r="H470" s="57" t="n">
        <f aca="false">G470*8/$D$467</f>
        <v>0.266666666666667</v>
      </c>
      <c r="I470" s="28" t="n">
        <v>28.94</v>
      </c>
      <c r="J470" s="28" t="n">
        <f aca="false">H470*I470</f>
        <v>7.71733333333333</v>
      </c>
    </row>
    <row r="471" customFormat="false" ht="15" hidden="false" customHeight="false" outlineLevel="0" collapsed="false">
      <c r="B471" s="1" t="s">
        <v>293</v>
      </c>
      <c r="F471" s="55" t="s">
        <v>292</v>
      </c>
      <c r="G471" s="56" t="n">
        <v>1</v>
      </c>
      <c r="H471" s="57" t="n">
        <f aca="false">G471*8/$D$467</f>
        <v>0.266666666666667</v>
      </c>
      <c r="I471" s="28" t="n">
        <v>22.66</v>
      </c>
      <c r="J471" s="28" t="n">
        <f aca="false">H471*I471</f>
        <v>6.04266666666667</v>
      </c>
    </row>
    <row r="472" customFormat="false" ht="15" hidden="false" customHeight="false" outlineLevel="0" collapsed="false">
      <c r="B472" s="1" t="s">
        <v>294</v>
      </c>
      <c r="F472" s="55" t="s">
        <v>292</v>
      </c>
      <c r="G472" s="56" t="n">
        <v>3</v>
      </c>
      <c r="H472" s="57" t="n">
        <f aca="false">G472*8/$D$467</f>
        <v>0.8</v>
      </c>
      <c r="I472" s="28" t="n">
        <v>20.51</v>
      </c>
      <c r="J472" s="28" t="n">
        <f aca="false">H472*I472</f>
        <v>16.408</v>
      </c>
    </row>
    <row r="473" customFormat="false" ht="15" hidden="false" customHeight="false" outlineLevel="0" collapsed="false">
      <c r="J473" s="53" t="n">
        <f aca="false">SUM(J470:J472)</f>
        <v>30.168</v>
      </c>
    </row>
    <row r="474" customFormat="false" ht="15" hidden="false" customHeight="false" outlineLevel="0" collapsed="false">
      <c r="B474" s="54" t="s">
        <v>295</v>
      </c>
    </row>
    <row r="475" customFormat="false" ht="15" hidden="false" customHeight="false" outlineLevel="0" collapsed="false">
      <c r="B475" s="1" t="s">
        <v>296</v>
      </c>
      <c r="F475" s="55" t="s">
        <v>297</v>
      </c>
      <c r="H475" s="1" t="n">
        <v>0.25</v>
      </c>
      <c r="I475" s="1" t="n">
        <v>2.64</v>
      </c>
      <c r="J475" s="28" t="n">
        <f aca="false">H475*I475</f>
        <v>0.66</v>
      </c>
    </row>
    <row r="476" customFormat="false" ht="15" hidden="false" customHeight="false" outlineLevel="0" collapsed="false">
      <c r="B476" s="1" t="s">
        <v>428</v>
      </c>
      <c r="F476" s="55" t="s">
        <v>150</v>
      </c>
      <c r="G476" s="56"/>
      <c r="H476" s="1" t="n">
        <v>1.05</v>
      </c>
      <c r="I476" s="1" t="n">
        <v>25.25</v>
      </c>
      <c r="J476" s="28" t="n">
        <f aca="false">H476*I476</f>
        <v>26.5125</v>
      </c>
    </row>
    <row r="477" customFormat="false" ht="15" hidden="false" customHeight="false" outlineLevel="0" collapsed="false">
      <c r="B477" s="1" t="s">
        <v>302</v>
      </c>
      <c r="F477" s="55" t="s">
        <v>297</v>
      </c>
      <c r="G477" s="56"/>
      <c r="H477" s="1" t="n">
        <v>0.071</v>
      </c>
      <c r="I477" s="1" t="n">
        <v>5.51</v>
      </c>
      <c r="J477" s="28" t="n">
        <f aca="false">H477*I477</f>
        <v>0.39121</v>
      </c>
    </row>
    <row r="478" customFormat="false" ht="15" hidden="false" customHeight="false" outlineLevel="0" collapsed="false">
      <c r="B478" s="1" t="s">
        <v>429</v>
      </c>
      <c r="F478" s="55" t="s">
        <v>430</v>
      </c>
      <c r="H478" s="1" t="n">
        <v>0.019</v>
      </c>
      <c r="I478" s="1" t="n">
        <v>70.92</v>
      </c>
      <c r="J478" s="28" t="n">
        <f aca="false">H478*I478</f>
        <v>1.34748</v>
      </c>
    </row>
    <row r="479" customFormat="false" ht="15" hidden="false" customHeight="false" outlineLevel="0" collapsed="false">
      <c r="B479" s="1" t="s">
        <v>431</v>
      </c>
      <c r="F479" s="55" t="s">
        <v>432</v>
      </c>
      <c r="H479" s="1" t="n">
        <v>0.25</v>
      </c>
      <c r="I479" s="1" t="n">
        <v>23.31</v>
      </c>
      <c r="J479" s="28" t="n">
        <f aca="false">H479*I479</f>
        <v>5.8275</v>
      </c>
    </row>
    <row r="480" customFormat="false" ht="15" hidden="false" customHeight="false" outlineLevel="0" collapsed="false">
      <c r="B480" s="1" t="s">
        <v>433</v>
      </c>
      <c r="F480" s="55" t="s">
        <v>434</v>
      </c>
      <c r="H480" s="1" t="n">
        <v>2.5</v>
      </c>
      <c r="I480" s="1" t="n">
        <v>5.51</v>
      </c>
      <c r="J480" s="28" t="n">
        <f aca="false">H480*I480</f>
        <v>13.775</v>
      </c>
    </row>
    <row r="481" customFormat="false" ht="15" hidden="false" customHeight="false" outlineLevel="0" collapsed="false">
      <c r="J481" s="53" t="n">
        <f aca="false">SUM(J475:J480)</f>
        <v>48.51369</v>
      </c>
    </row>
    <row r="482" customFormat="false" ht="15" hidden="false" customHeight="false" outlineLevel="0" collapsed="false">
      <c r="B482" s="54" t="s">
        <v>318</v>
      </c>
    </row>
    <row r="483" customFormat="false" ht="15" hidden="false" customHeight="false" outlineLevel="0" collapsed="false">
      <c r="B483" s="1" t="s">
        <v>311</v>
      </c>
      <c r="F483" s="55" t="s">
        <v>312</v>
      </c>
      <c r="H483" s="57" t="n">
        <v>5</v>
      </c>
      <c r="I483" s="28" t="n">
        <f aca="false">J473</f>
        <v>30.168</v>
      </c>
      <c r="J483" s="28" t="n">
        <f aca="false">H483%*I483</f>
        <v>1.5084</v>
      </c>
    </row>
    <row r="484" customFormat="false" ht="15" hidden="false" customHeight="false" outlineLevel="0" collapsed="false">
      <c r="A484" s="60"/>
      <c r="B484" s="60"/>
      <c r="C484" s="60"/>
      <c r="D484" s="60"/>
      <c r="E484" s="60"/>
      <c r="F484" s="60"/>
      <c r="G484" s="60"/>
      <c r="H484" s="60"/>
      <c r="I484" s="60"/>
      <c r="J484" s="61" t="n">
        <f aca="false">SUM(J483)</f>
        <v>1.5084</v>
      </c>
    </row>
    <row r="485" customFormat="false" ht="15" hidden="false" customHeight="false" outlineLevel="0" collapsed="false">
      <c r="F485" s="55"/>
      <c r="H485" s="57"/>
      <c r="J485" s="28"/>
    </row>
    <row r="486" customFormat="false" ht="15" hidden="false" customHeight="false" outlineLevel="0" collapsed="false">
      <c r="A486" s="14" t="s">
        <v>278</v>
      </c>
      <c r="B486" s="14" t="str">
        <f aca="false">PROVISIONALES!A53</f>
        <v>1.4.4.2.2</v>
      </c>
      <c r="C486" s="14" t="s">
        <v>231</v>
      </c>
      <c r="D486" s="14"/>
      <c r="E486" s="14"/>
      <c r="F486" s="14"/>
      <c r="G486" s="14"/>
      <c r="H486" s="14"/>
      <c r="I486" s="14"/>
    </row>
    <row r="487" customFormat="false" ht="15" hidden="false" customHeight="false" outlineLevel="0" collapsed="false">
      <c r="A487" s="14" t="s">
        <v>279</v>
      </c>
      <c r="B487" s="14" t="s">
        <v>326</v>
      </c>
      <c r="C487" s="36" t="s">
        <v>281</v>
      </c>
      <c r="D487" s="52" t="n">
        <v>41</v>
      </c>
      <c r="E487" s="36" t="s">
        <v>282</v>
      </c>
      <c r="F487" s="52" t="n">
        <f aca="false">D487</f>
        <v>41</v>
      </c>
      <c r="G487" s="14" t="s">
        <v>283</v>
      </c>
      <c r="I487" s="36" t="s">
        <v>150</v>
      </c>
      <c r="J487" s="53" t="n">
        <f aca="false">J491++J494+J497</f>
        <v>148.272048780488</v>
      </c>
    </row>
    <row r="488" customFormat="false" ht="15" hidden="false" customHeight="false" outlineLevel="0" collapsed="false">
      <c r="A488" s="14" t="s">
        <v>284</v>
      </c>
      <c r="B488" s="14" t="s">
        <v>285</v>
      </c>
      <c r="F488" s="36" t="s">
        <v>123</v>
      </c>
      <c r="G488" s="36" t="s">
        <v>286</v>
      </c>
      <c r="H488" s="36" t="s">
        <v>287</v>
      </c>
      <c r="I488" s="36" t="s">
        <v>288</v>
      </c>
      <c r="J488" s="36" t="s">
        <v>289</v>
      </c>
    </row>
    <row r="489" customFormat="false" ht="15" hidden="false" customHeight="false" outlineLevel="0" collapsed="false">
      <c r="B489" s="54" t="s">
        <v>290</v>
      </c>
    </row>
    <row r="490" customFormat="false" ht="15" hidden="false" customHeight="false" outlineLevel="0" collapsed="false">
      <c r="B490" s="1" t="s">
        <v>294</v>
      </c>
      <c r="F490" s="55" t="s">
        <v>292</v>
      </c>
      <c r="G490" s="56" t="n">
        <v>1</v>
      </c>
      <c r="H490" s="57" t="n">
        <f aca="false">G490*8/$D$487</f>
        <v>0.195121951219512</v>
      </c>
      <c r="I490" s="28" t="n">
        <v>20.51</v>
      </c>
      <c r="J490" s="28" t="n">
        <f aca="false">H490*I490</f>
        <v>4.0019512195122</v>
      </c>
    </row>
    <row r="491" customFormat="false" ht="15" hidden="false" customHeight="false" outlineLevel="0" collapsed="false">
      <c r="J491" s="53" t="n">
        <f aca="false">SUM(J490:J490)</f>
        <v>4.0019512195122</v>
      </c>
    </row>
    <row r="492" customFormat="false" ht="15" hidden="false" customHeight="false" outlineLevel="0" collapsed="false">
      <c r="B492" s="54" t="s">
        <v>295</v>
      </c>
    </row>
    <row r="493" customFormat="false" ht="15" hidden="false" customHeight="false" outlineLevel="0" collapsed="false">
      <c r="B493" s="1" t="s">
        <v>416</v>
      </c>
      <c r="F493" s="55" t="s">
        <v>150</v>
      </c>
      <c r="H493" s="56" t="n">
        <v>1</v>
      </c>
      <c r="I493" s="57" t="n">
        <v>144.07</v>
      </c>
      <c r="J493" s="28" t="n">
        <f aca="false">H493*I493</f>
        <v>144.07</v>
      </c>
    </row>
    <row r="494" customFormat="false" ht="15" hidden="false" customHeight="false" outlineLevel="0" collapsed="false">
      <c r="J494" s="53" t="n">
        <f aca="false">SUM(J493:J493)</f>
        <v>144.07</v>
      </c>
    </row>
    <row r="495" customFormat="false" ht="15" hidden="false" customHeight="false" outlineLevel="0" collapsed="false">
      <c r="B495" s="54" t="s">
        <v>318</v>
      </c>
    </row>
    <row r="496" customFormat="false" ht="15" hidden="false" customHeight="false" outlineLevel="0" collapsed="false">
      <c r="B496" s="1" t="s">
        <v>311</v>
      </c>
      <c r="F496" s="55" t="s">
        <v>312</v>
      </c>
      <c r="H496" s="57" t="n">
        <v>5</v>
      </c>
      <c r="I496" s="28" t="n">
        <f aca="false">J491</f>
        <v>4.0019512195122</v>
      </c>
      <c r="J496" s="28" t="n">
        <f aca="false">H496%*I496</f>
        <v>0.20009756097561</v>
      </c>
    </row>
    <row r="497" customFormat="false" ht="15" hidden="false" customHeight="false" outlineLevel="0" collapsed="false">
      <c r="A497" s="60"/>
      <c r="B497" s="60"/>
      <c r="C497" s="60"/>
      <c r="D497" s="60"/>
      <c r="E497" s="60"/>
      <c r="F497" s="60"/>
      <c r="G497" s="60"/>
      <c r="H497" s="60"/>
      <c r="I497" s="60"/>
      <c r="J497" s="61" t="n">
        <f aca="false">SUM(J496:J496)</f>
        <v>0.20009756097561</v>
      </c>
    </row>
    <row r="499" customFormat="false" ht="15" hidden="false" customHeight="false" outlineLevel="0" collapsed="false">
      <c r="A499" s="14" t="s">
        <v>278</v>
      </c>
      <c r="B499" s="14" t="str">
        <f aca="false">PROVISIONALES!A54</f>
        <v>1.4.4.2.3</v>
      </c>
      <c r="C499" s="14" t="s">
        <v>233</v>
      </c>
      <c r="D499" s="14"/>
      <c r="E499" s="14"/>
      <c r="F499" s="14"/>
      <c r="G499" s="14"/>
      <c r="H499" s="14"/>
      <c r="I499" s="14"/>
    </row>
    <row r="500" customFormat="false" ht="15" hidden="false" customHeight="false" outlineLevel="0" collapsed="false">
      <c r="A500" s="14" t="s">
        <v>279</v>
      </c>
      <c r="B500" s="14" t="s">
        <v>417</v>
      </c>
      <c r="C500" s="36" t="s">
        <v>281</v>
      </c>
      <c r="D500" s="52" t="n">
        <v>45</v>
      </c>
      <c r="E500" s="36" t="s">
        <v>282</v>
      </c>
      <c r="F500" s="52" t="n">
        <f aca="false">D500</f>
        <v>45</v>
      </c>
      <c r="G500" s="14" t="s">
        <v>283</v>
      </c>
      <c r="I500" s="36" t="s">
        <v>204</v>
      </c>
      <c r="J500" s="53" t="n">
        <f aca="false">J506++J512+J515</f>
        <v>43.2081333333333</v>
      </c>
    </row>
    <row r="501" customFormat="false" ht="15" hidden="false" customHeight="false" outlineLevel="0" collapsed="false">
      <c r="A501" s="14" t="s">
        <v>284</v>
      </c>
      <c r="B501" s="14" t="s">
        <v>285</v>
      </c>
      <c r="F501" s="36" t="s">
        <v>123</v>
      </c>
      <c r="G501" s="36" t="s">
        <v>286</v>
      </c>
      <c r="H501" s="36" t="s">
        <v>287</v>
      </c>
      <c r="I501" s="36" t="s">
        <v>288</v>
      </c>
      <c r="J501" s="36" t="s">
        <v>289</v>
      </c>
    </row>
    <row r="502" customFormat="false" ht="15" hidden="false" customHeight="false" outlineLevel="0" collapsed="false">
      <c r="B502" s="54" t="s">
        <v>290</v>
      </c>
    </row>
    <row r="503" customFormat="false" ht="15" hidden="false" customHeight="false" outlineLevel="0" collapsed="false">
      <c r="B503" s="1" t="s">
        <v>291</v>
      </c>
      <c r="F503" s="55" t="s">
        <v>292</v>
      </c>
      <c r="G503" s="56" t="n">
        <v>1</v>
      </c>
      <c r="H503" s="57" t="n">
        <f aca="false">G503*8/$D$500</f>
        <v>0.177777777777778</v>
      </c>
      <c r="I503" s="28" t="n">
        <v>28.94</v>
      </c>
      <c r="J503" s="28" t="n">
        <f aca="false">H503*I503</f>
        <v>5.14488888888889</v>
      </c>
    </row>
    <row r="504" customFormat="false" ht="15" hidden="false" customHeight="false" outlineLevel="0" collapsed="false">
      <c r="B504" s="1" t="s">
        <v>293</v>
      </c>
      <c r="F504" s="55" t="s">
        <v>292</v>
      </c>
      <c r="G504" s="56" t="n">
        <v>1</v>
      </c>
      <c r="H504" s="57" t="n">
        <f aca="false">G504*8/$D$500</f>
        <v>0.177777777777778</v>
      </c>
      <c r="I504" s="28" t="n">
        <v>22.66</v>
      </c>
      <c r="J504" s="28" t="n">
        <f aca="false">H504*I504</f>
        <v>4.02844444444444</v>
      </c>
    </row>
    <row r="505" customFormat="false" ht="15" hidden="false" customHeight="false" outlineLevel="0" collapsed="false">
      <c r="B505" s="1" t="s">
        <v>294</v>
      </c>
      <c r="F505" s="55" t="s">
        <v>292</v>
      </c>
      <c r="G505" s="56" t="n">
        <v>4</v>
      </c>
      <c r="H505" s="57" t="n">
        <f aca="false">G505*8/$D$500</f>
        <v>0.711111111111111</v>
      </c>
      <c r="I505" s="28" t="n">
        <v>20.51</v>
      </c>
      <c r="J505" s="28" t="n">
        <f aca="false">H505*I505</f>
        <v>14.5848888888889</v>
      </c>
    </row>
    <row r="506" customFormat="false" ht="15" hidden="false" customHeight="false" outlineLevel="0" collapsed="false">
      <c r="J506" s="53" t="n">
        <f aca="false">SUM(J503:J505)</f>
        <v>23.7582222222222</v>
      </c>
    </row>
    <row r="507" customFormat="false" ht="15" hidden="false" customHeight="false" outlineLevel="0" collapsed="false">
      <c r="B507" s="54" t="s">
        <v>295</v>
      </c>
    </row>
    <row r="508" customFormat="false" ht="15" hidden="false" customHeight="false" outlineLevel="0" collapsed="false">
      <c r="B508" s="1" t="s">
        <v>435</v>
      </c>
      <c r="F508" s="55" t="s">
        <v>420</v>
      </c>
      <c r="G508" s="56"/>
      <c r="H508" s="1" t="n">
        <v>0.1</v>
      </c>
      <c r="I508" s="1" t="n">
        <v>0.42</v>
      </c>
      <c r="J508" s="28" t="n">
        <f aca="false">H508*I508</f>
        <v>0.042</v>
      </c>
    </row>
    <row r="509" customFormat="false" ht="15" hidden="false" customHeight="false" outlineLevel="0" collapsed="false">
      <c r="B509" s="1" t="s">
        <v>436</v>
      </c>
      <c r="F509" s="55" t="s">
        <v>150</v>
      </c>
      <c r="G509" s="56"/>
      <c r="H509" s="1" t="n">
        <v>0.5</v>
      </c>
      <c r="I509" s="1" t="n">
        <v>10.17</v>
      </c>
      <c r="J509" s="28" t="n">
        <f aca="false">H509*I509</f>
        <v>5.085</v>
      </c>
    </row>
    <row r="510" customFormat="false" ht="15" hidden="false" customHeight="false" outlineLevel="0" collapsed="false">
      <c r="B510" s="1" t="s">
        <v>357</v>
      </c>
      <c r="F510" s="55" t="s">
        <v>351</v>
      </c>
      <c r="G510" s="56"/>
      <c r="H510" s="1" t="n">
        <v>0.5</v>
      </c>
      <c r="I510" s="1" t="n">
        <v>14.41</v>
      </c>
      <c r="J510" s="28" t="n">
        <f aca="false">H510*I510</f>
        <v>7.205</v>
      </c>
    </row>
    <row r="511" customFormat="false" ht="15" hidden="false" customHeight="false" outlineLevel="0" collapsed="false">
      <c r="B511" s="1" t="s">
        <v>437</v>
      </c>
      <c r="F511" s="55" t="s">
        <v>150</v>
      </c>
      <c r="H511" s="1" t="n">
        <v>0.5</v>
      </c>
      <c r="I511" s="1" t="n">
        <v>11.86</v>
      </c>
      <c r="J511" s="28" t="n">
        <f aca="false">H511*I511</f>
        <v>5.93</v>
      </c>
    </row>
    <row r="512" customFormat="false" ht="15" hidden="false" customHeight="false" outlineLevel="0" collapsed="false">
      <c r="F512" s="55"/>
      <c r="H512" s="57"/>
      <c r="I512" s="28"/>
      <c r="J512" s="53" t="n">
        <f aca="false">SUM(J508:J511)</f>
        <v>18.262</v>
      </c>
    </row>
    <row r="513" customFormat="false" ht="15" hidden="false" customHeight="false" outlineLevel="0" collapsed="false">
      <c r="B513" s="54" t="s">
        <v>310</v>
      </c>
    </row>
    <row r="514" customFormat="false" ht="15" hidden="false" customHeight="false" outlineLevel="0" collapsed="false">
      <c r="B514" s="1" t="s">
        <v>311</v>
      </c>
      <c r="F514" s="55" t="s">
        <v>312</v>
      </c>
      <c r="H514" s="57" t="n">
        <v>5</v>
      </c>
      <c r="I514" s="28" t="n">
        <f aca="false">J506</f>
        <v>23.7582222222222</v>
      </c>
      <c r="J514" s="28" t="n">
        <f aca="false">H514%*I514</f>
        <v>1.18791111111111</v>
      </c>
    </row>
    <row r="515" customFormat="false" ht="15" hidden="false" customHeight="false" outlineLevel="0" collapsed="false">
      <c r="A515" s="60"/>
      <c r="B515" s="60"/>
      <c r="C515" s="60"/>
      <c r="D515" s="60"/>
      <c r="E515" s="60"/>
      <c r="F515" s="60"/>
      <c r="G515" s="60"/>
      <c r="H515" s="60"/>
      <c r="I515" s="60"/>
      <c r="J515" s="61" t="n">
        <f aca="false">SUM(J514)</f>
        <v>1.18791111111111</v>
      </c>
    </row>
    <row r="516" customFormat="false" ht="15" hidden="false" customHeight="false" outlineLevel="0" collapsed="false">
      <c r="F516" s="55"/>
      <c r="H516" s="57"/>
      <c r="I516" s="28"/>
      <c r="J516" s="28"/>
    </row>
    <row r="517" customFormat="false" ht="15" hidden="false" customHeight="false" outlineLevel="0" collapsed="false">
      <c r="A517" s="14" t="s">
        <v>278</v>
      </c>
      <c r="B517" s="14" t="str">
        <f aca="false">PROVISIONALES!A55</f>
        <v>1.4.4.2.4</v>
      </c>
      <c r="C517" s="14" t="s">
        <v>235</v>
      </c>
      <c r="D517" s="14"/>
      <c r="E517" s="14"/>
      <c r="F517" s="14"/>
      <c r="G517" s="14"/>
      <c r="H517" s="14"/>
      <c r="I517" s="14"/>
    </row>
    <row r="518" customFormat="false" ht="15" hidden="false" customHeight="false" outlineLevel="0" collapsed="false">
      <c r="A518" s="14" t="s">
        <v>279</v>
      </c>
      <c r="B518" s="14" t="s">
        <v>417</v>
      </c>
      <c r="C518" s="36" t="s">
        <v>281</v>
      </c>
      <c r="D518" s="52" t="n">
        <v>250</v>
      </c>
      <c r="E518" s="36" t="s">
        <v>282</v>
      </c>
      <c r="F518" s="52" t="n">
        <f aca="false">D518</f>
        <v>250</v>
      </c>
      <c r="G518" s="14" t="s">
        <v>283</v>
      </c>
      <c r="I518" s="36" t="s">
        <v>204</v>
      </c>
      <c r="J518" s="53" t="n">
        <f aca="false">J523++J526+J530</f>
        <v>13.786064</v>
      </c>
    </row>
    <row r="519" customFormat="false" ht="15" hidden="false" customHeight="false" outlineLevel="0" collapsed="false">
      <c r="A519" s="14" t="s">
        <v>284</v>
      </c>
      <c r="B519" s="14" t="s">
        <v>285</v>
      </c>
      <c r="F519" s="36" t="s">
        <v>123</v>
      </c>
      <c r="G519" s="36" t="s">
        <v>286</v>
      </c>
      <c r="H519" s="36" t="s">
        <v>287</v>
      </c>
      <c r="I519" s="36" t="s">
        <v>288</v>
      </c>
      <c r="J519" s="36" t="s">
        <v>289</v>
      </c>
    </row>
    <row r="520" customFormat="false" ht="15" hidden="false" customHeight="false" outlineLevel="0" collapsed="false">
      <c r="B520" s="54" t="s">
        <v>290</v>
      </c>
    </row>
    <row r="521" customFormat="false" ht="15" hidden="false" customHeight="false" outlineLevel="0" collapsed="false">
      <c r="B521" s="1" t="s">
        <v>438</v>
      </c>
      <c r="F521" s="55" t="s">
        <v>292</v>
      </c>
      <c r="G521" s="56" t="n">
        <v>2</v>
      </c>
      <c r="H521" s="57" t="n">
        <f aca="false">G521*8/$D$518</f>
        <v>0.064</v>
      </c>
      <c r="I521" s="28" t="n">
        <v>28.94</v>
      </c>
      <c r="J521" s="28" t="n">
        <f aca="false">H521*I521</f>
        <v>1.85216</v>
      </c>
    </row>
    <row r="522" customFormat="false" ht="15" hidden="false" customHeight="false" outlineLevel="0" collapsed="false">
      <c r="B522" s="1" t="s">
        <v>294</v>
      </c>
      <c r="F522" s="55" t="s">
        <v>292</v>
      </c>
      <c r="G522" s="56" t="n">
        <v>1</v>
      </c>
      <c r="H522" s="57" t="n">
        <f aca="false">G522*8/$D$518</f>
        <v>0.032</v>
      </c>
      <c r="I522" s="28" t="n">
        <v>20.51</v>
      </c>
      <c r="J522" s="28" t="n">
        <f aca="false">H522*I522</f>
        <v>0.65632</v>
      </c>
    </row>
    <row r="523" customFormat="false" ht="15" hidden="false" customHeight="false" outlineLevel="0" collapsed="false">
      <c r="J523" s="53" t="n">
        <f aca="false">SUM(J521:J522)</f>
        <v>2.50848</v>
      </c>
    </row>
    <row r="524" customFormat="false" ht="15" hidden="false" customHeight="false" outlineLevel="0" collapsed="false">
      <c r="B524" s="54" t="s">
        <v>295</v>
      </c>
    </row>
    <row r="525" customFormat="false" ht="15" hidden="false" customHeight="false" outlineLevel="0" collapsed="false">
      <c r="B525" s="1" t="s">
        <v>439</v>
      </c>
      <c r="F525" s="55" t="s">
        <v>440</v>
      </c>
      <c r="G525" s="56"/>
      <c r="H525" s="57" t="n">
        <v>0.24</v>
      </c>
      <c r="I525" s="1" t="n">
        <v>14.83</v>
      </c>
      <c r="J525" s="28" t="n">
        <f aca="false">H525*I525</f>
        <v>3.5592</v>
      </c>
    </row>
    <row r="526" customFormat="false" ht="15" hidden="false" customHeight="false" outlineLevel="0" collapsed="false">
      <c r="F526" s="55"/>
      <c r="H526" s="57"/>
      <c r="I526" s="28"/>
      <c r="J526" s="53" t="n">
        <f aca="false">SUM(J525)</f>
        <v>3.5592</v>
      </c>
    </row>
    <row r="527" customFormat="false" ht="15" hidden="false" customHeight="false" outlineLevel="0" collapsed="false">
      <c r="B527" s="54" t="s">
        <v>310</v>
      </c>
    </row>
    <row r="528" customFormat="false" ht="15" hidden="false" customHeight="false" outlineLevel="0" collapsed="false">
      <c r="B528" s="1" t="s">
        <v>311</v>
      </c>
      <c r="F528" s="55" t="s">
        <v>312</v>
      </c>
      <c r="H528" s="57" t="n">
        <v>5</v>
      </c>
      <c r="I528" s="28" t="n">
        <f aca="false">J523</f>
        <v>2.50848</v>
      </c>
      <c r="J528" s="28" t="n">
        <f aca="false">H528%*I528</f>
        <v>0.125424</v>
      </c>
    </row>
    <row r="529" customFormat="false" ht="15" hidden="false" customHeight="false" outlineLevel="0" collapsed="false">
      <c r="B529" s="1" t="s">
        <v>441</v>
      </c>
      <c r="F529" s="55" t="s">
        <v>338</v>
      </c>
      <c r="G529" s="56" t="n">
        <v>2</v>
      </c>
      <c r="H529" s="57" t="n">
        <f aca="false">G529*8/$D$518</f>
        <v>0.064</v>
      </c>
      <c r="I529" s="28" t="n">
        <v>118.64</v>
      </c>
      <c r="J529" s="28" t="n">
        <f aca="false">H529*I529</f>
        <v>7.59296</v>
      </c>
    </row>
    <row r="530" customFormat="false" ht="15" hidden="false" customHeight="false" outlineLevel="0" collapsed="false">
      <c r="A530" s="60"/>
      <c r="B530" s="60"/>
      <c r="C530" s="60"/>
      <c r="D530" s="60"/>
      <c r="E530" s="60"/>
      <c r="F530" s="60"/>
      <c r="G530" s="60"/>
      <c r="H530" s="60"/>
      <c r="I530" s="60"/>
      <c r="J530" s="61" t="n">
        <f aca="false">SUM(J528:J529)</f>
        <v>7.718384</v>
      </c>
    </row>
    <row r="532" customFormat="false" ht="15" hidden="false" customHeight="false" outlineLevel="0" collapsed="false">
      <c r="A532" s="14" t="s">
        <v>278</v>
      </c>
      <c r="B532" s="14" t="str">
        <f aca="false">PROVISIONALES!A57</f>
        <v>1.4.4.3.1</v>
      </c>
      <c r="C532" s="14" t="s">
        <v>239</v>
      </c>
      <c r="D532" s="14"/>
      <c r="E532" s="14"/>
      <c r="F532" s="14"/>
      <c r="G532" s="14"/>
      <c r="H532" s="14"/>
      <c r="I532" s="14"/>
    </row>
    <row r="533" customFormat="false" ht="15" hidden="false" customHeight="false" outlineLevel="0" collapsed="false">
      <c r="A533" s="14" t="s">
        <v>279</v>
      </c>
      <c r="B533" s="14" t="s">
        <v>333</v>
      </c>
      <c r="C533" s="36" t="s">
        <v>281</v>
      </c>
      <c r="D533" s="52" t="n">
        <v>1</v>
      </c>
      <c r="E533" s="36" t="s">
        <v>282</v>
      </c>
      <c r="F533" s="52" t="n">
        <f aca="false">D533</f>
        <v>1</v>
      </c>
      <c r="G533" s="14" t="s">
        <v>283</v>
      </c>
      <c r="I533" s="36" t="s">
        <v>158</v>
      </c>
      <c r="J533" s="53" t="n">
        <f aca="false">J538++J541+J544</f>
        <v>68.271</v>
      </c>
    </row>
    <row r="534" customFormat="false" ht="15" hidden="false" customHeight="false" outlineLevel="0" collapsed="false">
      <c r="A534" s="14" t="s">
        <v>284</v>
      </c>
      <c r="B534" s="14" t="s">
        <v>285</v>
      </c>
      <c r="F534" s="36" t="s">
        <v>123</v>
      </c>
      <c r="G534" s="36" t="s">
        <v>286</v>
      </c>
      <c r="H534" s="36" t="s">
        <v>287</v>
      </c>
      <c r="I534" s="36" t="s">
        <v>288</v>
      </c>
      <c r="J534" s="36" t="s">
        <v>289</v>
      </c>
    </row>
    <row r="535" customFormat="false" ht="15" hidden="false" customHeight="false" outlineLevel="0" collapsed="false">
      <c r="B535" s="54" t="s">
        <v>290</v>
      </c>
    </row>
    <row r="536" customFormat="false" ht="15" hidden="false" customHeight="false" outlineLevel="0" collapsed="false">
      <c r="F536" s="55"/>
      <c r="G536" s="56"/>
      <c r="H536" s="57"/>
      <c r="I536" s="28"/>
      <c r="J536" s="28"/>
    </row>
    <row r="537" customFormat="false" ht="15" hidden="false" customHeight="false" outlineLevel="0" collapsed="false">
      <c r="B537" s="1" t="s">
        <v>294</v>
      </c>
      <c r="F537" s="55" t="s">
        <v>292</v>
      </c>
      <c r="G537" s="56" t="n">
        <v>0.25</v>
      </c>
      <c r="H537" s="57" t="n">
        <f aca="false">G537*8/$D$533</f>
        <v>2</v>
      </c>
      <c r="I537" s="28" t="n">
        <v>20.51</v>
      </c>
      <c r="J537" s="28" t="n">
        <f aca="false">H537*I537</f>
        <v>41.02</v>
      </c>
    </row>
    <row r="538" customFormat="false" ht="15" hidden="false" customHeight="false" outlineLevel="0" collapsed="false">
      <c r="J538" s="53" t="n">
        <f aca="false">SUM(J537)</f>
        <v>41.02</v>
      </c>
    </row>
    <row r="539" customFormat="false" ht="15" hidden="false" customHeight="false" outlineLevel="0" collapsed="false">
      <c r="B539" s="54" t="s">
        <v>295</v>
      </c>
    </row>
    <row r="540" customFormat="false" ht="15" hidden="false" customHeight="false" outlineLevel="0" collapsed="false">
      <c r="B540" s="1" t="s">
        <v>442</v>
      </c>
      <c r="F540" s="55" t="s">
        <v>150</v>
      </c>
      <c r="G540" s="56"/>
      <c r="H540" s="57" t="n">
        <v>10</v>
      </c>
      <c r="I540" s="1" t="n">
        <v>2.52</v>
      </c>
      <c r="J540" s="28" t="n">
        <f aca="false">H540*I540</f>
        <v>25.2</v>
      </c>
    </row>
    <row r="541" customFormat="false" ht="15" hidden="false" customHeight="false" outlineLevel="0" collapsed="false">
      <c r="F541" s="55"/>
      <c r="H541" s="57"/>
      <c r="I541" s="28"/>
      <c r="J541" s="53" t="n">
        <f aca="false">SUM(J540)</f>
        <v>25.2</v>
      </c>
    </row>
    <row r="542" customFormat="false" ht="15" hidden="false" customHeight="false" outlineLevel="0" collapsed="false">
      <c r="B542" s="54" t="s">
        <v>310</v>
      </c>
    </row>
    <row r="543" customFormat="false" ht="15" hidden="false" customHeight="false" outlineLevel="0" collapsed="false">
      <c r="B543" s="1" t="s">
        <v>311</v>
      </c>
      <c r="F543" s="55" t="s">
        <v>312</v>
      </c>
      <c r="H543" s="57" t="n">
        <v>5</v>
      </c>
      <c r="I543" s="28" t="n">
        <f aca="false">J538</f>
        <v>41.02</v>
      </c>
      <c r="J543" s="28" t="n">
        <f aca="false">H543%*I543</f>
        <v>2.051</v>
      </c>
    </row>
    <row r="544" customFormat="false" ht="15" hidden="false" customHeight="false" outlineLevel="0" collapsed="false">
      <c r="A544" s="60"/>
      <c r="B544" s="60"/>
      <c r="C544" s="60"/>
      <c r="D544" s="60"/>
      <c r="E544" s="60"/>
      <c r="F544" s="60"/>
      <c r="G544" s="60"/>
      <c r="H544" s="60"/>
      <c r="I544" s="60"/>
      <c r="J544" s="61" t="n">
        <f aca="false">SUM(J543)</f>
        <v>2.051</v>
      </c>
    </row>
    <row r="546" customFormat="false" ht="15" hidden="false" customHeight="false" outlineLevel="0" collapsed="false">
      <c r="A546" s="14" t="s">
        <v>278</v>
      </c>
      <c r="B546" s="14" t="str">
        <f aca="false">PROVISIONALES!A58</f>
        <v>1.4.4.3.2</v>
      </c>
      <c r="C546" s="14" t="s">
        <v>241</v>
      </c>
      <c r="D546" s="14"/>
      <c r="E546" s="14"/>
      <c r="F546" s="14"/>
      <c r="G546" s="14"/>
      <c r="H546" s="14"/>
      <c r="I546" s="14"/>
    </row>
    <row r="547" customFormat="false" ht="15" hidden="false" customHeight="false" outlineLevel="0" collapsed="false">
      <c r="A547" s="14" t="s">
        <v>279</v>
      </c>
      <c r="B547" s="14" t="s">
        <v>417</v>
      </c>
      <c r="C547" s="36" t="s">
        <v>281</v>
      </c>
      <c r="D547" s="52" t="n">
        <v>250</v>
      </c>
      <c r="E547" s="36" t="s">
        <v>282</v>
      </c>
      <c r="F547" s="52" t="n">
        <f aca="false">D547</f>
        <v>250</v>
      </c>
      <c r="G547" s="14" t="s">
        <v>283</v>
      </c>
      <c r="I547" s="36" t="s">
        <v>204</v>
      </c>
      <c r="J547" s="53" t="n">
        <f aca="false">J552++J555+J559</f>
        <v>13.786064</v>
      </c>
    </row>
    <row r="548" customFormat="false" ht="15" hidden="false" customHeight="false" outlineLevel="0" collapsed="false">
      <c r="A548" s="14" t="s">
        <v>284</v>
      </c>
      <c r="B548" s="14" t="s">
        <v>285</v>
      </c>
      <c r="F548" s="36" t="s">
        <v>123</v>
      </c>
      <c r="G548" s="36" t="s">
        <v>286</v>
      </c>
      <c r="H548" s="36" t="s">
        <v>287</v>
      </c>
      <c r="I548" s="36" t="s">
        <v>288</v>
      </c>
      <c r="J548" s="36" t="s">
        <v>289</v>
      </c>
    </row>
    <row r="549" customFormat="false" ht="15" hidden="false" customHeight="false" outlineLevel="0" collapsed="false">
      <c r="B549" s="54" t="s">
        <v>290</v>
      </c>
    </row>
    <row r="550" customFormat="false" ht="15" hidden="false" customHeight="false" outlineLevel="0" collapsed="false">
      <c r="B550" s="1" t="s">
        <v>438</v>
      </c>
      <c r="F550" s="55" t="s">
        <v>292</v>
      </c>
      <c r="G550" s="56" t="n">
        <v>2</v>
      </c>
      <c r="H550" s="57" t="n">
        <f aca="false">G550*8/$D$547</f>
        <v>0.064</v>
      </c>
      <c r="I550" s="28" t="n">
        <v>28.94</v>
      </c>
      <c r="J550" s="28" t="n">
        <f aca="false">H550*I550</f>
        <v>1.85216</v>
      </c>
    </row>
    <row r="551" customFormat="false" ht="15" hidden="false" customHeight="false" outlineLevel="0" collapsed="false">
      <c r="B551" s="1" t="s">
        <v>294</v>
      </c>
      <c r="F551" s="55" t="s">
        <v>292</v>
      </c>
      <c r="G551" s="56" t="n">
        <v>1</v>
      </c>
      <c r="H551" s="57" t="n">
        <f aca="false">G551*8/$D$547</f>
        <v>0.032</v>
      </c>
      <c r="I551" s="28" t="n">
        <v>20.51</v>
      </c>
      <c r="J551" s="28" t="n">
        <f aca="false">H551*I551</f>
        <v>0.65632</v>
      </c>
    </row>
    <row r="552" customFormat="false" ht="15" hidden="false" customHeight="false" outlineLevel="0" collapsed="false">
      <c r="J552" s="53" t="n">
        <f aca="false">SUM(J550:J551)</f>
        <v>2.50848</v>
      </c>
    </row>
    <row r="553" customFormat="false" ht="15" hidden="false" customHeight="false" outlineLevel="0" collapsed="false">
      <c r="B553" s="54" t="s">
        <v>295</v>
      </c>
    </row>
    <row r="554" customFormat="false" ht="15" hidden="false" customHeight="false" outlineLevel="0" collapsed="false">
      <c r="B554" s="1" t="s">
        <v>439</v>
      </c>
      <c r="F554" s="55" t="s">
        <v>440</v>
      </c>
      <c r="G554" s="56"/>
      <c r="H554" s="57" t="n">
        <v>0.24</v>
      </c>
      <c r="I554" s="1" t="n">
        <v>14.83</v>
      </c>
      <c r="J554" s="28" t="n">
        <f aca="false">H554*I554</f>
        <v>3.5592</v>
      </c>
    </row>
    <row r="555" customFormat="false" ht="15" hidden="false" customHeight="false" outlineLevel="0" collapsed="false">
      <c r="F555" s="55"/>
      <c r="H555" s="57"/>
      <c r="I555" s="28"/>
      <c r="J555" s="53" t="n">
        <f aca="false">SUM(J554)</f>
        <v>3.5592</v>
      </c>
    </row>
    <row r="556" customFormat="false" ht="15" hidden="false" customHeight="false" outlineLevel="0" collapsed="false">
      <c r="B556" s="54" t="s">
        <v>310</v>
      </c>
    </row>
    <row r="557" customFormat="false" ht="15" hidden="false" customHeight="false" outlineLevel="0" collapsed="false">
      <c r="B557" s="1" t="s">
        <v>311</v>
      </c>
      <c r="F557" s="55" t="s">
        <v>312</v>
      </c>
      <c r="H557" s="57" t="n">
        <v>5</v>
      </c>
      <c r="I557" s="28" t="n">
        <f aca="false">J552</f>
        <v>2.50848</v>
      </c>
      <c r="J557" s="28" t="n">
        <f aca="false">H557%*I557</f>
        <v>0.125424</v>
      </c>
    </row>
    <row r="558" customFormat="false" ht="15" hidden="false" customHeight="false" outlineLevel="0" collapsed="false">
      <c r="B558" s="1" t="s">
        <v>441</v>
      </c>
      <c r="F558" s="55" t="s">
        <v>338</v>
      </c>
      <c r="G558" s="56" t="n">
        <v>2</v>
      </c>
      <c r="H558" s="57" t="n">
        <f aca="false">G558*8/$D$547</f>
        <v>0.064</v>
      </c>
      <c r="I558" s="28" t="n">
        <v>118.64</v>
      </c>
      <c r="J558" s="28" t="n">
        <f aca="false">H558*I558</f>
        <v>7.59296</v>
      </c>
    </row>
    <row r="559" customFormat="false" ht="15" hidden="false" customHeight="false" outlineLevel="0" collapsed="false">
      <c r="A559" s="60"/>
      <c r="B559" s="60"/>
      <c r="C559" s="60"/>
      <c r="D559" s="60"/>
      <c r="E559" s="60"/>
      <c r="F559" s="60"/>
      <c r="G559" s="60"/>
      <c r="H559" s="60"/>
      <c r="I559" s="60"/>
      <c r="J559" s="61" t="n">
        <f aca="false">SUM(J557:J558)</f>
        <v>7.718384</v>
      </c>
    </row>
    <row r="561" customFormat="false" ht="15" hidden="false" customHeight="false" outlineLevel="0" collapsed="false">
      <c r="A561" s="14" t="s">
        <v>278</v>
      </c>
      <c r="B561" s="14" t="str">
        <f aca="false">PROVISIONALES!A60</f>
        <v>1.4.5.1</v>
      </c>
      <c r="C561" s="14" t="s">
        <v>245</v>
      </c>
      <c r="D561" s="14"/>
      <c r="E561" s="14"/>
      <c r="F561" s="14"/>
      <c r="G561" s="14"/>
      <c r="H561" s="14"/>
      <c r="I561" s="14"/>
    </row>
    <row r="562" customFormat="false" ht="15" hidden="false" customHeight="false" outlineLevel="0" collapsed="false">
      <c r="A562" s="14" t="s">
        <v>279</v>
      </c>
      <c r="B562" s="14" t="s">
        <v>326</v>
      </c>
      <c r="C562" s="36" t="s">
        <v>281</v>
      </c>
      <c r="D562" s="52" t="n">
        <v>5</v>
      </c>
      <c r="E562" s="36" t="s">
        <v>282</v>
      </c>
      <c r="F562" s="52" t="n">
        <f aca="false">D562</f>
        <v>5</v>
      </c>
      <c r="G562" s="14" t="s">
        <v>283</v>
      </c>
      <c r="I562" s="36" t="s">
        <v>150</v>
      </c>
      <c r="J562" s="53" t="n">
        <f aca="false">J566++J572+J575</f>
        <v>402.0068</v>
      </c>
    </row>
    <row r="563" customFormat="false" ht="15" hidden="false" customHeight="false" outlineLevel="0" collapsed="false">
      <c r="A563" s="14" t="s">
        <v>284</v>
      </c>
      <c r="B563" s="14" t="s">
        <v>285</v>
      </c>
      <c r="F563" s="36" t="s">
        <v>123</v>
      </c>
      <c r="G563" s="36" t="s">
        <v>286</v>
      </c>
      <c r="H563" s="36" t="s">
        <v>287</v>
      </c>
      <c r="I563" s="36" t="s">
        <v>288</v>
      </c>
      <c r="J563" s="36" t="s">
        <v>289</v>
      </c>
    </row>
    <row r="564" customFormat="false" ht="15" hidden="false" customHeight="false" outlineLevel="0" collapsed="false">
      <c r="B564" s="54" t="s">
        <v>290</v>
      </c>
    </row>
    <row r="565" customFormat="false" ht="15" hidden="false" customHeight="false" outlineLevel="0" collapsed="false">
      <c r="B565" s="1" t="s">
        <v>294</v>
      </c>
      <c r="F565" s="55" t="s">
        <v>292</v>
      </c>
      <c r="G565" s="56" t="n">
        <v>1</v>
      </c>
      <c r="H565" s="57" t="n">
        <f aca="false">G565*8/$D$562</f>
        <v>1.6</v>
      </c>
      <c r="I565" s="28" t="n">
        <v>20.51</v>
      </c>
      <c r="J565" s="28" t="n">
        <f aca="false">H565*I565</f>
        <v>32.816</v>
      </c>
    </row>
    <row r="566" customFormat="false" ht="15" hidden="false" customHeight="false" outlineLevel="0" collapsed="false">
      <c r="J566" s="53" t="n">
        <f aca="false">SUM(J565:J565)</f>
        <v>32.816</v>
      </c>
    </row>
    <row r="567" customFormat="false" ht="15" hidden="false" customHeight="false" outlineLevel="0" collapsed="false">
      <c r="B567" s="54" t="s">
        <v>295</v>
      </c>
    </row>
    <row r="568" customFormat="false" ht="15" hidden="false" customHeight="false" outlineLevel="0" collapsed="false">
      <c r="B568" s="1" t="s">
        <v>443</v>
      </c>
      <c r="F568" s="55" t="s">
        <v>420</v>
      </c>
      <c r="H568" s="57" t="n">
        <v>2</v>
      </c>
      <c r="I568" s="28" t="n">
        <v>8.22</v>
      </c>
      <c r="J568" s="28" t="n">
        <f aca="false">H568*I568</f>
        <v>16.44</v>
      </c>
    </row>
    <row r="569" customFormat="false" ht="15" hidden="false" customHeight="false" outlineLevel="0" collapsed="false">
      <c r="B569" s="1" t="s">
        <v>444</v>
      </c>
      <c r="F569" s="55" t="s">
        <v>150</v>
      </c>
      <c r="G569" s="56"/>
      <c r="H569" s="57" t="n">
        <v>1</v>
      </c>
      <c r="I569" s="28" t="n">
        <v>216.34</v>
      </c>
      <c r="J569" s="28" t="n">
        <f aca="false">H569*I569</f>
        <v>216.34</v>
      </c>
    </row>
    <row r="570" customFormat="false" ht="15" hidden="false" customHeight="false" outlineLevel="0" collapsed="false">
      <c r="B570" s="1" t="s">
        <v>445</v>
      </c>
      <c r="F570" s="55" t="s">
        <v>150</v>
      </c>
      <c r="H570" s="57" t="n">
        <v>25</v>
      </c>
      <c r="I570" s="28" t="n">
        <v>1.8</v>
      </c>
      <c r="J570" s="28" t="n">
        <f aca="false">H570*I570</f>
        <v>45</v>
      </c>
    </row>
    <row r="571" customFormat="false" ht="15" hidden="false" customHeight="false" outlineLevel="0" collapsed="false">
      <c r="B571" s="1" t="s">
        <v>446</v>
      </c>
      <c r="F571" s="55" t="s">
        <v>373</v>
      </c>
      <c r="H571" s="57" t="n">
        <v>0.5</v>
      </c>
      <c r="I571" s="28" t="n">
        <v>179.54</v>
      </c>
      <c r="J571" s="28" t="n">
        <f aca="false">H571*I571</f>
        <v>89.77</v>
      </c>
    </row>
    <row r="572" customFormat="false" ht="15" hidden="false" customHeight="false" outlineLevel="0" collapsed="false">
      <c r="F572" s="55"/>
      <c r="H572" s="57"/>
      <c r="I572" s="28"/>
      <c r="J572" s="53" t="n">
        <f aca="false">SUM(J568:J571)</f>
        <v>367.55</v>
      </c>
    </row>
    <row r="573" customFormat="false" ht="15" hidden="false" customHeight="false" outlineLevel="0" collapsed="false">
      <c r="B573" s="54" t="s">
        <v>310</v>
      </c>
    </row>
    <row r="574" customFormat="false" ht="15" hidden="false" customHeight="false" outlineLevel="0" collapsed="false">
      <c r="B574" s="1" t="s">
        <v>311</v>
      </c>
      <c r="F574" s="55" t="s">
        <v>312</v>
      </c>
      <c r="H574" s="57" t="n">
        <v>5</v>
      </c>
      <c r="I574" s="28" t="n">
        <f aca="false">J566</f>
        <v>32.816</v>
      </c>
      <c r="J574" s="28" t="n">
        <f aca="false">H574%*I574</f>
        <v>1.6408</v>
      </c>
    </row>
    <row r="575" customFormat="false" ht="15" hidden="false" customHeight="false" outlineLevel="0" collapsed="false">
      <c r="A575" s="60"/>
      <c r="B575" s="60"/>
      <c r="C575" s="60"/>
      <c r="D575" s="60"/>
      <c r="E575" s="60"/>
      <c r="F575" s="60"/>
      <c r="G575" s="60"/>
      <c r="H575" s="60"/>
      <c r="I575" s="60"/>
      <c r="J575" s="61" t="n">
        <f aca="false">SUM(J574:J574)</f>
        <v>1.6408</v>
      </c>
    </row>
    <row r="577" customFormat="false" ht="15" hidden="false" customHeight="false" outlineLevel="0" collapsed="false">
      <c r="A577" s="14" t="s">
        <v>278</v>
      </c>
      <c r="B577" s="14" t="str">
        <f aca="false">PROVISIONALES!A62</f>
        <v>1.4.6.1</v>
      </c>
      <c r="C577" s="14" t="s">
        <v>249</v>
      </c>
      <c r="D577" s="14"/>
      <c r="E577" s="14"/>
      <c r="F577" s="14"/>
      <c r="G577" s="14"/>
      <c r="H577" s="14"/>
      <c r="I577" s="14"/>
    </row>
    <row r="578" customFormat="false" ht="15" hidden="false" customHeight="false" outlineLevel="0" collapsed="false">
      <c r="A578" s="14" t="s">
        <v>279</v>
      </c>
      <c r="B578" s="14" t="s">
        <v>280</v>
      </c>
      <c r="C578" s="36" t="s">
        <v>281</v>
      </c>
      <c r="D578" s="52" t="n">
        <v>150</v>
      </c>
      <c r="E578" s="36" t="s">
        <v>282</v>
      </c>
      <c r="F578" s="52" t="n">
        <f aca="false">D578</f>
        <v>150</v>
      </c>
      <c r="G578" s="14" t="s">
        <v>283</v>
      </c>
      <c r="I578" s="36" t="s">
        <v>134</v>
      </c>
      <c r="J578" s="53" t="n">
        <f aca="false">J583+J587</f>
        <v>6.94930666666667</v>
      </c>
    </row>
    <row r="579" customFormat="false" ht="15" hidden="false" customHeight="false" outlineLevel="0" collapsed="false">
      <c r="A579" s="14" t="s">
        <v>284</v>
      </c>
      <c r="B579" s="14" t="s">
        <v>285</v>
      </c>
      <c r="F579" s="36" t="s">
        <v>123</v>
      </c>
      <c r="G579" s="36" t="s">
        <v>286</v>
      </c>
      <c r="H579" s="36" t="s">
        <v>287</v>
      </c>
      <c r="I579" s="36" t="s">
        <v>288</v>
      </c>
      <c r="J579" s="36" t="s">
        <v>289</v>
      </c>
    </row>
    <row r="580" customFormat="false" ht="15" hidden="false" customHeight="false" outlineLevel="0" collapsed="false">
      <c r="B580" s="54" t="s">
        <v>290</v>
      </c>
    </row>
    <row r="581" customFormat="false" ht="15" hidden="false" customHeight="false" outlineLevel="0" collapsed="false">
      <c r="B581" s="1" t="s">
        <v>438</v>
      </c>
      <c r="F581" s="55" t="s">
        <v>292</v>
      </c>
      <c r="G581" s="56" t="n">
        <v>0.5</v>
      </c>
      <c r="H581" s="57" t="n">
        <f aca="false">G581*8/$D$578</f>
        <v>0.0266666666666667</v>
      </c>
      <c r="I581" s="28" t="n">
        <v>28.94</v>
      </c>
      <c r="J581" s="28" t="n">
        <f aca="false">H581*I581</f>
        <v>0.771733333333333</v>
      </c>
    </row>
    <row r="582" customFormat="false" ht="15" hidden="false" customHeight="false" outlineLevel="0" collapsed="false">
      <c r="B582" s="1" t="s">
        <v>294</v>
      </c>
      <c r="F582" s="55" t="s">
        <v>292</v>
      </c>
      <c r="G582" s="56" t="n">
        <v>2</v>
      </c>
      <c r="H582" s="57" t="n">
        <f aca="false">G582*8/$D$578</f>
        <v>0.106666666666667</v>
      </c>
      <c r="I582" s="28" t="n">
        <v>20.51</v>
      </c>
      <c r="J582" s="28" t="n">
        <f aca="false">H582*I582</f>
        <v>2.18773333333333</v>
      </c>
    </row>
    <row r="583" customFormat="false" ht="15" hidden="false" customHeight="false" outlineLevel="0" collapsed="false">
      <c r="J583" s="53" t="n">
        <f aca="false">SUM(J581:J582)</f>
        <v>2.95946666666667</v>
      </c>
    </row>
    <row r="584" customFormat="false" ht="15" hidden="false" customHeight="false" outlineLevel="0" collapsed="false">
      <c r="B584" s="54" t="s">
        <v>310</v>
      </c>
    </row>
    <row r="585" customFormat="false" ht="15" hidden="false" customHeight="false" outlineLevel="0" collapsed="false">
      <c r="B585" s="1" t="s">
        <v>311</v>
      </c>
      <c r="F585" s="55" t="s">
        <v>312</v>
      </c>
      <c r="H585" s="57" t="n">
        <v>5</v>
      </c>
      <c r="I585" s="28" t="n">
        <f aca="false">J583</f>
        <v>2.95946666666667</v>
      </c>
      <c r="J585" s="28" t="n">
        <f aca="false">H585%*I585</f>
        <v>0.147973333333333</v>
      </c>
    </row>
    <row r="586" customFormat="false" ht="15" hidden="false" customHeight="false" outlineLevel="0" collapsed="false">
      <c r="B586" s="1" t="s">
        <v>447</v>
      </c>
      <c r="F586" s="55" t="s">
        <v>338</v>
      </c>
      <c r="G586" s="56" t="n">
        <v>0.5</v>
      </c>
      <c r="H586" s="57" t="n">
        <f aca="false">G586*8/$D$578</f>
        <v>0.0266666666666667</v>
      </c>
      <c r="I586" s="28" t="n">
        <v>144.07</v>
      </c>
      <c r="J586" s="28" t="n">
        <f aca="false">H586*I586</f>
        <v>3.84186666666667</v>
      </c>
    </row>
    <row r="587" customFormat="false" ht="15" hidden="false" customHeight="false" outlineLevel="0" collapsed="false">
      <c r="A587" s="60"/>
      <c r="B587" s="60"/>
      <c r="C587" s="60"/>
      <c r="D587" s="60"/>
      <c r="E587" s="60"/>
      <c r="F587" s="60"/>
      <c r="G587" s="60"/>
      <c r="H587" s="60"/>
      <c r="I587" s="60"/>
      <c r="J587" s="61" t="n">
        <f aca="false">SUM(J585:J586)</f>
        <v>3.98984</v>
      </c>
    </row>
    <row r="589" customFormat="false" ht="15" hidden="false" customHeight="false" outlineLevel="0" collapsed="false">
      <c r="A589" s="14" t="s">
        <v>278</v>
      </c>
      <c r="B589" s="14" t="str">
        <f aca="false">PROVISIONALES!A63</f>
        <v>1.4.6.2</v>
      </c>
      <c r="C589" s="14" t="s">
        <v>251</v>
      </c>
      <c r="D589" s="14"/>
      <c r="E589" s="14"/>
      <c r="F589" s="14"/>
      <c r="G589" s="14"/>
      <c r="H589" s="14"/>
      <c r="I589" s="14"/>
    </row>
    <row r="590" customFormat="false" ht="15" hidden="false" customHeight="false" outlineLevel="0" collapsed="false">
      <c r="A590" s="14" t="s">
        <v>279</v>
      </c>
      <c r="B590" s="14" t="s">
        <v>417</v>
      </c>
      <c r="C590" s="36" t="s">
        <v>281</v>
      </c>
      <c r="D590" s="52" t="n">
        <v>250</v>
      </c>
      <c r="E590" s="36" t="s">
        <v>282</v>
      </c>
      <c r="F590" s="52" t="n">
        <f aca="false">D590</f>
        <v>250</v>
      </c>
      <c r="G590" s="14" t="s">
        <v>283</v>
      </c>
      <c r="I590" s="36" t="s">
        <v>204</v>
      </c>
      <c r="J590" s="53" t="n">
        <f aca="false">J595++J598+J603</f>
        <v>24.086838</v>
      </c>
    </row>
    <row r="591" customFormat="false" ht="15" hidden="false" customHeight="false" outlineLevel="0" collapsed="false">
      <c r="A591" s="14" t="s">
        <v>284</v>
      </c>
      <c r="B591" s="14" t="s">
        <v>285</v>
      </c>
      <c r="F591" s="36" t="s">
        <v>123</v>
      </c>
      <c r="G591" s="36" t="s">
        <v>286</v>
      </c>
      <c r="H591" s="36" t="s">
        <v>287</v>
      </c>
      <c r="I591" s="36" t="s">
        <v>288</v>
      </c>
      <c r="J591" s="36" t="s">
        <v>289</v>
      </c>
    </row>
    <row r="592" customFormat="false" ht="15" hidden="false" customHeight="false" outlineLevel="0" collapsed="false">
      <c r="B592" s="54" t="s">
        <v>290</v>
      </c>
    </row>
    <row r="593" customFormat="false" ht="15" hidden="false" customHeight="false" outlineLevel="0" collapsed="false">
      <c r="B593" s="1" t="s">
        <v>438</v>
      </c>
      <c r="F593" s="55" t="s">
        <v>292</v>
      </c>
      <c r="G593" s="56" t="n">
        <v>3</v>
      </c>
      <c r="H593" s="57" t="n">
        <f aca="false">G593*8/$D$590</f>
        <v>0.096</v>
      </c>
      <c r="I593" s="28" t="n">
        <v>28.94</v>
      </c>
      <c r="J593" s="28" t="n">
        <f aca="false">H593*I593</f>
        <v>2.77824</v>
      </c>
    </row>
    <row r="594" customFormat="false" ht="15" hidden="false" customHeight="false" outlineLevel="0" collapsed="false">
      <c r="B594" s="1" t="s">
        <v>294</v>
      </c>
      <c r="F594" s="55" t="s">
        <v>292</v>
      </c>
      <c r="G594" s="56" t="n">
        <v>1</v>
      </c>
      <c r="H594" s="57" t="n">
        <f aca="false">G594*8/$D$590</f>
        <v>0.032</v>
      </c>
      <c r="I594" s="28" t="n">
        <v>20.51</v>
      </c>
      <c r="J594" s="28" t="n">
        <f aca="false">H594*I594</f>
        <v>0.65632</v>
      </c>
    </row>
    <row r="595" customFormat="false" ht="15" hidden="false" customHeight="false" outlineLevel="0" collapsed="false">
      <c r="J595" s="53" t="n">
        <f aca="false">SUM(J593:J594)</f>
        <v>3.43456</v>
      </c>
    </row>
    <row r="596" customFormat="false" ht="15" hidden="false" customHeight="false" outlineLevel="0" collapsed="false">
      <c r="B596" s="54" t="s">
        <v>295</v>
      </c>
    </row>
    <row r="597" customFormat="false" ht="15" hidden="false" customHeight="false" outlineLevel="0" collapsed="false">
      <c r="B597" s="1" t="s">
        <v>439</v>
      </c>
      <c r="F597" s="55" t="s">
        <v>440</v>
      </c>
      <c r="G597" s="56"/>
      <c r="H597" s="57" t="n">
        <v>0.357</v>
      </c>
      <c r="I597" s="1" t="n">
        <v>14.83</v>
      </c>
      <c r="J597" s="28" t="n">
        <f aca="false">H597*I597</f>
        <v>5.29431</v>
      </c>
    </row>
    <row r="598" customFormat="false" ht="15" hidden="false" customHeight="false" outlineLevel="0" collapsed="false">
      <c r="F598" s="55"/>
      <c r="H598" s="57"/>
      <c r="I598" s="28"/>
      <c r="J598" s="53" t="n">
        <f aca="false">SUM(J597)</f>
        <v>5.29431</v>
      </c>
    </row>
    <row r="599" customFormat="false" ht="15" hidden="false" customHeight="false" outlineLevel="0" collapsed="false">
      <c r="B599" s="54" t="s">
        <v>310</v>
      </c>
    </row>
    <row r="600" customFormat="false" ht="15" hidden="false" customHeight="false" outlineLevel="0" collapsed="false">
      <c r="B600" s="1" t="s">
        <v>311</v>
      </c>
      <c r="F600" s="55" t="s">
        <v>312</v>
      </c>
      <c r="H600" s="57" t="n">
        <v>5</v>
      </c>
      <c r="I600" s="28" t="n">
        <f aca="false">J595</f>
        <v>3.43456</v>
      </c>
      <c r="J600" s="28" t="n">
        <f aca="false">H600%*I600</f>
        <v>0.171728</v>
      </c>
    </row>
    <row r="601" customFormat="false" ht="15" hidden="false" customHeight="false" outlineLevel="0" collapsed="false">
      <c r="B601" s="1" t="s">
        <v>441</v>
      </c>
      <c r="F601" s="55" t="s">
        <v>338</v>
      </c>
      <c r="G601" s="56" t="n">
        <v>2</v>
      </c>
      <c r="H601" s="57" t="n">
        <f aca="false">G601*8/$D$590</f>
        <v>0.064</v>
      </c>
      <c r="I601" s="28" t="n">
        <v>118.64</v>
      </c>
      <c r="J601" s="28" t="n">
        <f aca="false">H601*I601</f>
        <v>7.59296</v>
      </c>
    </row>
    <row r="602" customFormat="false" ht="15" hidden="false" customHeight="false" outlineLevel="0" collapsed="false">
      <c r="B602" s="1" t="s">
        <v>448</v>
      </c>
      <c r="F602" s="55" t="s">
        <v>338</v>
      </c>
      <c r="G602" s="56" t="n">
        <v>1</v>
      </c>
      <c r="H602" s="57" t="n">
        <f aca="false">G602*8/$D$590</f>
        <v>0.032</v>
      </c>
      <c r="I602" s="28" t="n">
        <v>237.29</v>
      </c>
      <c r="J602" s="28" t="n">
        <f aca="false">H602*I602</f>
        <v>7.59328</v>
      </c>
    </row>
    <row r="603" customFormat="false" ht="15" hidden="false" customHeight="false" outlineLevel="0" collapsed="false">
      <c r="A603" s="60"/>
      <c r="B603" s="60"/>
      <c r="C603" s="60"/>
      <c r="D603" s="60"/>
      <c r="E603" s="60"/>
      <c r="F603" s="60"/>
      <c r="G603" s="60"/>
      <c r="H603" s="60"/>
      <c r="I603" s="60"/>
      <c r="J603" s="61" t="n">
        <f aca="false">SUM(J600:J602)</f>
        <v>15.357968</v>
      </c>
    </row>
    <row r="605" customFormat="false" ht="15" hidden="false" customHeight="false" outlineLevel="0" collapsed="false">
      <c r="A605" s="14" t="s">
        <v>278</v>
      </c>
      <c r="B605" s="14" t="str">
        <f aca="false">PROVISIONALES!A64</f>
        <v>1.4.6.3</v>
      </c>
      <c r="C605" s="14" t="s">
        <v>253</v>
      </c>
      <c r="D605" s="14"/>
      <c r="E605" s="14"/>
      <c r="F605" s="14"/>
      <c r="G605" s="14"/>
      <c r="H605" s="14"/>
      <c r="I605" s="14"/>
    </row>
    <row r="606" customFormat="false" ht="15" hidden="false" customHeight="false" outlineLevel="0" collapsed="false">
      <c r="A606" s="14" t="s">
        <v>279</v>
      </c>
      <c r="B606" s="14" t="s">
        <v>280</v>
      </c>
      <c r="C606" s="36" t="s">
        <v>281</v>
      </c>
      <c r="D606" s="52" t="n">
        <v>50</v>
      </c>
      <c r="E606" s="36" t="s">
        <v>282</v>
      </c>
      <c r="F606" s="52" t="n">
        <f aca="false">D606</f>
        <v>50</v>
      </c>
      <c r="G606" s="14" t="s">
        <v>283</v>
      </c>
      <c r="I606" s="36" t="s">
        <v>134</v>
      </c>
      <c r="J606" s="53" t="n">
        <f aca="false">J610+J614+J617</f>
        <v>7.69136</v>
      </c>
    </row>
    <row r="607" customFormat="false" ht="15" hidden="false" customHeight="false" outlineLevel="0" collapsed="false">
      <c r="A607" s="14" t="s">
        <v>284</v>
      </c>
      <c r="B607" s="14" t="s">
        <v>285</v>
      </c>
      <c r="F607" s="36" t="s">
        <v>123</v>
      </c>
      <c r="G607" s="36" t="s">
        <v>286</v>
      </c>
      <c r="H607" s="36" t="s">
        <v>287</v>
      </c>
      <c r="I607" s="36" t="s">
        <v>288</v>
      </c>
      <c r="J607" s="36" t="s">
        <v>289</v>
      </c>
    </row>
    <row r="608" customFormat="false" ht="15" hidden="false" customHeight="false" outlineLevel="0" collapsed="false">
      <c r="B608" s="54" t="s">
        <v>290</v>
      </c>
    </row>
    <row r="609" customFormat="false" ht="15" hidden="false" customHeight="false" outlineLevel="0" collapsed="false">
      <c r="B609" s="1" t="s">
        <v>294</v>
      </c>
      <c r="F609" s="55" t="s">
        <v>292</v>
      </c>
      <c r="G609" s="56" t="n">
        <v>2</v>
      </c>
      <c r="H609" s="57" t="n">
        <f aca="false">G609*8/$D$606</f>
        <v>0.32</v>
      </c>
      <c r="I609" s="28" t="n">
        <v>20.51</v>
      </c>
      <c r="J609" s="28" t="n">
        <f aca="false">H609*I609</f>
        <v>6.5632</v>
      </c>
    </row>
    <row r="610" customFormat="false" ht="15" hidden="false" customHeight="false" outlineLevel="0" collapsed="false">
      <c r="J610" s="53" t="n">
        <f aca="false">SUM(J609:J609)</f>
        <v>6.5632</v>
      </c>
    </row>
    <row r="611" customFormat="false" ht="15" hidden="false" customHeight="false" outlineLevel="0" collapsed="false">
      <c r="B611" s="54" t="s">
        <v>295</v>
      </c>
    </row>
    <row r="612" customFormat="false" ht="15" hidden="false" customHeight="false" outlineLevel="0" collapsed="false">
      <c r="B612" s="1" t="s">
        <v>449</v>
      </c>
      <c r="F612" s="55" t="s">
        <v>297</v>
      </c>
      <c r="H612" s="57" t="n">
        <v>0.5</v>
      </c>
      <c r="I612" s="1" t="n">
        <v>0.38</v>
      </c>
      <c r="J612" s="28" t="n">
        <f aca="false">H612*I612</f>
        <v>0.19</v>
      </c>
    </row>
    <row r="613" customFormat="false" ht="15" hidden="false" customHeight="false" outlineLevel="0" collapsed="false">
      <c r="B613" s="1" t="s">
        <v>450</v>
      </c>
      <c r="F613" s="55" t="s">
        <v>297</v>
      </c>
      <c r="G613" s="56"/>
      <c r="H613" s="57" t="n">
        <v>0.5</v>
      </c>
      <c r="I613" s="1" t="n">
        <v>1.22</v>
      </c>
      <c r="J613" s="28" t="n">
        <f aca="false">H613*I613</f>
        <v>0.61</v>
      </c>
    </row>
    <row r="614" customFormat="false" ht="15" hidden="false" customHeight="false" outlineLevel="0" collapsed="false">
      <c r="F614" s="55"/>
      <c r="H614" s="57"/>
      <c r="I614" s="28"/>
      <c r="J614" s="53" t="n">
        <f aca="false">SUM(J612:J613)</f>
        <v>0.8</v>
      </c>
    </row>
    <row r="615" customFormat="false" ht="15" hidden="false" customHeight="false" outlineLevel="0" collapsed="false">
      <c r="B615" s="54" t="s">
        <v>310</v>
      </c>
    </row>
    <row r="616" customFormat="false" ht="15" hidden="false" customHeight="false" outlineLevel="0" collapsed="false">
      <c r="B616" s="1" t="s">
        <v>311</v>
      </c>
      <c r="F616" s="55" t="s">
        <v>312</v>
      </c>
      <c r="H616" s="57" t="n">
        <v>5</v>
      </c>
      <c r="I616" s="28" t="n">
        <f aca="false">J610</f>
        <v>6.5632</v>
      </c>
      <c r="J616" s="28" t="n">
        <f aca="false">H616%*I616</f>
        <v>0.32816</v>
      </c>
    </row>
    <row r="617" customFormat="false" ht="15" hidden="false" customHeight="false" outlineLevel="0" collapsed="false">
      <c r="A617" s="60"/>
      <c r="B617" s="60"/>
      <c r="C617" s="60"/>
      <c r="D617" s="60"/>
      <c r="E617" s="60"/>
      <c r="F617" s="60"/>
      <c r="G617" s="60"/>
      <c r="H617" s="60"/>
      <c r="I617" s="60"/>
      <c r="J617" s="61" t="n">
        <f aca="false">SUM(J616)</f>
        <v>0.32816</v>
      </c>
    </row>
    <row r="618" customFormat="false" ht="15" hidden="false" customHeight="false" outlineLevel="0" collapsed="false">
      <c r="F618" s="55"/>
      <c r="G618" s="56"/>
      <c r="H618" s="57"/>
      <c r="I618" s="28"/>
      <c r="J618" s="28"/>
    </row>
    <row r="619" customFormat="false" ht="15" hidden="false" customHeight="false" outlineLevel="0" collapsed="false">
      <c r="A619" s="14" t="s">
        <v>278</v>
      </c>
      <c r="B619" s="14" t="str">
        <f aca="false">PROVISIONALES!A65</f>
        <v>1.4.6.4</v>
      </c>
      <c r="C619" s="14" t="s">
        <v>451</v>
      </c>
      <c r="D619" s="14"/>
      <c r="E619" s="14"/>
      <c r="F619" s="14"/>
      <c r="G619" s="14"/>
      <c r="H619" s="14"/>
      <c r="I619" s="14"/>
    </row>
    <row r="620" customFormat="false" ht="15" hidden="false" customHeight="false" outlineLevel="0" collapsed="false">
      <c r="A620" s="14" t="s">
        <v>279</v>
      </c>
      <c r="B620" s="14" t="s">
        <v>280</v>
      </c>
      <c r="C620" s="36" t="s">
        <v>281</v>
      </c>
      <c r="D620" s="52" t="n">
        <v>100</v>
      </c>
      <c r="E620" s="36" t="s">
        <v>282</v>
      </c>
      <c r="F620" s="52" t="n">
        <f aca="false">D620</f>
        <v>100</v>
      </c>
      <c r="G620" s="14" t="s">
        <v>283</v>
      </c>
      <c r="I620" s="36" t="s">
        <v>134</v>
      </c>
      <c r="J620" s="53" t="n">
        <f aca="false">J625+J628+J632</f>
        <v>8.03264</v>
      </c>
    </row>
    <row r="621" customFormat="false" ht="15" hidden="false" customHeight="false" outlineLevel="0" collapsed="false">
      <c r="A621" s="14" t="s">
        <v>284</v>
      </c>
      <c r="B621" s="14" t="s">
        <v>285</v>
      </c>
      <c r="F621" s="36" t="s">
        <v>123</v>
      </c>
      <c r="G621" s="36" t="s">
        <v>286</v>
      </c>
      <c r="H621" s="36" t="s">
        <v>287</v>
      </c>
      <c r="I621" s="36" t="s">
        <v>288</v>
      </c>
      <c r="J621" s="36" t="s">
        <v>289</v>
      </c>
    </row>
    <row r="622" customFormat="false" ht="15" hidden="false" customHeight="false" outlineLevel="0" collapsed="false">
      <c r="B622" s="54" t="s">
        <v>290</v>
      </c>
    </row>
    <row r="623" customFormat="false" ht="15" hidden="false" customHeight="false" outlineLevel="0" collapsed="false">
      <c r="B623" s="1" t="s">
        <v>405</v>
      </c>
      <c r="F623" s="55" t="s">
        <v>292</v>
      </c>
      <c r="G623" s="56" t="n">
        <v>1</v>
      </c>
      <c r="H623" s="57" t="n">
        <f aca="false">G623*8/$D$620</f>
        <v>0.08</v>
      </c>
      <c r="I623" s="28" t="n">
        <v>28.94</v>
      </c>
      <c r="J623" s="28" t="n">
        <f aca="false">H623*I623</f>
        <v>2.3152</v>
      </c>
    </row>
    <row r="624" customFormat="false" ht="15" hidden="false" customHeight="false" outlineLevel="0" collapsed="false">
      <c r="B624" s="1" t="s">
        <v>294</v>
      </c>
      <c r="F624" s="55" t="s">
        <v>292</v>
      </c>
      <c r="G624" s="56" t="n">
        <v>2</v>
      </c>
      <c r="H624" s="57" t="n">
        <f aca="false">G624*8/$D$620</f>
        <v>0.16</v>
      </c>
      <c r="I624" s="28" t="n">
        <v>20.51</v>
      </c>
      <c r="J624" s="28" t="n">
        <f aca="false">H624*I624</f>
        <v>3.2816</v>
      </c>
    </row>
    <row r="625" customFormat="false" ht="15" hidden="false" customHeight="false" outlineLevel="0" collapsed="false">
      <c r="J625" s="53" t="n">
        <f aca="false">SUM(J623:J624)</f>
        <v>5.5968</v>
      </c>
    </row>
    <row r="626" customFormat="false" ht="15" hidden="false" customHeight="false" outlineLevel="0" collapsed="false">
      <c r="B626" s="54" t="s">
        <v>295</v>
      </c>
    </row>
    <row r="627" customFormat="false" ht="15" hidden="false" customHeight="false" outlineLevel="0" collapsed="false">
      <c r="B627" s="1" t="s">
        <v>452</v>
      </c>
      <c r="F627" s="55" t="s">
        <v>440</v>
      </c>
      <c r="H627" s="57" t="n">
        <v>0.08</v>
      </c>
      <c r="I627" s="1" t="n">
        <v>14.24</v>
      </c>
      <c r="J627" s="28" t="n">
        <f aca="false">H627*I627</f>
        <v>1.1392</v>
      </c>
    </row>
    <row r="628" customFormat="false" ht="15" hidden="false" customHeight="false" outlineLevel="0" collapsed="false">
      <c r="F628" s="55"/>
      <c r="H628" s="57"/>
      <c r="I628" s="28"/>
      <c r="J628" s="53" t="n">
        <f aca="false">SUM(J627:J627)</f>
        <v>1.1392</v>
      </c>
    </row>
    <row r="629" customFormat="false" ht="15" hidden="false" customHeight="false" outlineLevel="0" collapsed="false">
      <c r="B629" s="54" t="s">
        <v>310</v>
      </c>
    </row>
    <row r="630" customFormat="false" ht="15" hidden="false" customHeight="false" outlineLevel="0" collapsed="false">
      <c r="B630" s="1" t="s">
        <v>311</v>
      </c>
      <c r="F630" s="55" t="s">
        <v>312</v>
      </c>
      <c r="H630" s="57" t="n">
        <v>5</v>
      </c>
      <c r="I630" s="28" t="n">
        <f aca="false">J625</f>
        <v>5.5968</v>
      </c>
      <c r="J630" s="28" t="n">
        <f aca="false">H630%*I630</f>
        <v>0.27984</v>
      </c>
    </row>
    <row r="631" customFormat="false" ht="15" hidden="false" customHeight="false" outlineLevel="0" collapsed="false">
      <c r="B631" s="1" t="s">
        <v>453</v>
      </c>
      <c r="F631" s="55" t="s">
        <v>338</v>
      </c>
      <c r="G631" s="56" t="n">
        <v>1</v>
      </c>
      <c r="H631" s="57" t="n">
        <f aca="false">G631*8/$D$620</f>
        <v>0.08</v>
      </c>
      <c r="I631" s="28" t="n">
        <v>12.71</v>
      </c>
      <c r="J631" s="28" t="n">
        <f aca="false">H631*I631</f>
        <v>1.0168</v>
      </c>
    </row>
    <row r="632" customFormat="false" ht="15" hidden="false" customHeight="false" outlineLevel="0" collapsed="false">
      <c r="A632" s="60"/>
      <c r="B632" s="60"/>
      <c r="C632" s="60"/>
      <c r="D632" s="60"/>
      <c r="E632" s="60"/>
      <c r="F632" s="60"/>
      <c r="G632" s="60"/>
      <c r="H632" s="60"/>
      <c r="I632" s="60"/>
      <c r="J632" s="61" t="n">
        <f aca="false">SUM(J630:J631)</f>
        <v>1.29664</v>
      </c>
    </row>
    <row r="634" customFormat="false" ht="15" hidden="false" customHeight="false" outlineLevel="0" collapsed="false">
      <c r="A634" s="14" t="s">
        <v>334</v>
      </c>
      <c r="B634" s="14" t="str">
        <f aca="false">PROVISIONALES!A68</f>
        <v>1.5.1.1</v>
      </c>
      <c r="C634" s="14" t="s">
        <v>260</v>
      </c>
      <c r="D634" s="14"/>
      <c r="E634" s="14"/>
      <c r="F634" s="14"/>
      <c r="G634" s="14"/>
      <c r="H634" s="14"/>
      <c r="I634" s="14"/>
    </row>
    <row r="635" customFormat="false" ht="15" hidden="false" customHeight="false" outlineLevel="0" collapsed="false">
      <c r="A635" s="14" t="s">
        <v>279</v>
      </c>
      <c r="B635" s="14" t="s">
        <v>280</v>
      </c>
      <c r="C635" s="36" t="s">
        <v>281</v>
      </c>
      <c r="D635" s="52" t="n">
        <v>1</v>
      </c>
      <c r="E635" s="36" t="s">
        <v>282</v>
      </c>
      <c r="F635" s="52" t="n">
        <f aca="false">D635</f>
        <v>1</v>
      </c>
      <c r="G635" s="14" t="s">
        <v>283</v>
      </c>
      <c r="I635" s="36" t="s">
        <v>134</v>
      </c>
      <c r="J635" s="53" t="n">
        <f aca="false">J639</f>
        <v>16.07</v>
      </c>
    </row>
    <row r="636" customFormat="false" ht="15" hidden="false" customHeight="false" outlineLevel="0" collapsed="false">
      <c r="A636" s="14" t="s">
        <v>284</v>
      </c>
      <c r="B636" s="14" t="s">
        <v>285</v>
      </c>
      <c r="F636" s="36" t="s">
        <v>123</v>
      </c>
      <c r="G636" s="36" t="s">
        <v>286</v>
      </c>
      <c r="H636" s="36" t="s">
        <v>287</v>
      </c>
      <c r="I636" s="36" t="s">
        <v>288</v>
      </c>
      <c r="J636" s="36" t="s">
        <v>289</v>
      </c>
    </row>
    <row r="637" customFormat="false" ht="15" hidden="false" customHeight="false" outlineLevel="0" collapsed="false">
      <c r="B637" s="54" t="s">
        <v>295</v>
      </c>
    </row>
    <row r="638" customFormat="false" ht="15" hidden="false" customHeight="false" outlineLevel="0" collapsed="false">
      <c r="B638" s="1" t="s">
        <v>260</v>
      </c>
      <c r="F638" s="55" t="s">
        <v>134</v>
      </c>
      <c r="G638" s="56"/>
      <c r="H638" s="57" t="n">
        <v>1</v>
      </c>
      <c r="I638" s="1" t="n">
        <v>16.07</v>
      </c>
      <c r="J638" s="28" t="n">
        <f aca="false">H638*I638</f>
        <v>16.07</v>
      </c>
    </row>
    <row r="639" customFormat="false" ht="15" hidden="false" customHeight="false" outlineLevel="0" collapsed="false">
      <c r="A639" s="60"/>
      <c r="B639" s="60"/>
      <c r="C639" s="60"/>
      <c r="D639" s="60"/>
      <c r="E639" s="60"/>
      <c r="F639" s="62"/>
      <c r="G639" s="63"/>
      <c r="H639" s="64"/>
      <c r="I639" s="65"/>
      <c r="J639" s="61" t="n">
        <f aca="false">SUM(J638)</f>
        <v>16.07</v>
      </c>
    </row>
    <row r="641" customFormat="false" ht="15" hidden="false" customHeight="false" outlineLevel="0" collapsed="false">
      <c r="A641" s="14" t="s">
        <v>334</v>
      </c>
      <c r="B641" s="14" t="str">
        <f aca="false">PROVISIONALES!A69</f>
        <v>1.5.1.2</v>
      </c>
      <c r="C641" s="14" t="s">
        <v>262</v>
      </c>
      <c r="D641" s="14"/>
      <c r="E641" s="14"/>
      <c r="F641" s="14"/>
      <c r="G641" s="14"/>
      <c r="H641" s="14"/>
      <c r="I641" s="14"/>
    </row>
    <row r="642" customFormat="false" ht="15" hidden="false" customHeight="false" outlineLevel="0" collapsed="false">
      <c r="A642" s="14" t="s">
        <v>279</v>
      </c>
      <c r="B642" s="14" t="s">
        <v>280</v>
      </c>
      <c r="C642" s="36" t="s">
        <v>281</v>
      </c>
      <c r="D642" s="52" t="n">
        <v>1</v>
      </c>
      <c r="E642" s="36" t="s">
        <v>282</v>
      </c>
      <c r="F642" s="52" t="n">
        <f aca="false">D642</f>
        <v>1</v>
      </c>
      <c r="G642" s="14" t="s">
        <v>283</v>
      </c>
      <c r="I642" s="36" t="s">
        <v>134</v>
      </c>
      <c r="J642" s="53" t="n">
        <f aca="false">J646</f>
        <v>20.09</v>
      </c>
    </row>
    <row r="643" customFormat="false" ht="15" hidden="false" customHeight="false" outlineLevel="0" collapsed="false">
      <c r="A643" s="14" t="s">
        <v>284</v>
      </c>
      <c r="B643" s="14" t="s">
        <v>285</v>
      </c>
      <c r="F643" s="36" t="s">
        <v>123</v>
      </c>
      <c r="G643" s="36" t="s">
        <v>286</v>
      </c>
      <c r="H643" s="36" t="s">
        <v>287</v>
      </c>
      <c r="I643" s="36" t="s">
        <v>288</v>
      </c>
      <c r="J643" s="36" t="s">
        <v>289</v>
      </c>
    </row>
    <row r="644" customFormat="false" ht="15" hidden="false" customHeight="false" outlineLevel="0" collapsed="false">
      <c r="B644" s="54" t="s">
        <v>295</v>
      </c>
    </row>
    <row r="645" customFormat="false" ht="15" hidden="false" customHeight="false" outlineLevel="0" collapsed="false">
      <c r="B645" s="1" t="s">
        <v>262</v>
      </c>
      <c r="F645" s="55" t="s">
        <v>134</v>
      </c>
      <c r="G645" s="56"/>
      <c r="H645" s="57" t="n">
        <v>1</v>
      </c>
      <c r="I645" s="1" t="n">
        <v>20.09</v>
      </c>
      <c r="J645" s="28" t="n">
        <f aca="false">H645*I645</f>
        <v>20.09</v>
      </c>
    </row>
    <row r="646" customFormat="false" ht="15" hidden="false" customHeight="false" outlineLevel="0" collapsed="false">
      <c r="A646" s="60"/>
      <c r="B646" s="60"/>
      <c r="C646" s="60"/>
      <c r="D646" s="60"/>
      <c r="E646" s="60"/>
      <c r="F646" s="62"/>
      <c r="G646" s="63"/>
      <c r="H646" s="64"/>
      <c r="I646" s="65"/>
      <c r="J646" s="61" t="n">
        <f aca="false">SUM(J645)</f>
        <v>20.09</v>
      </c>
    </row>
    <row r="648" customFormat="false" ht="15" hidden="false" customHeight="false" outlineLevel="0" collapsed="false">
      <c r="A648" s="14" t="s">
        <v>334</v>
      </c>
      <c r="B648" s="14" t="str">
        <f aca="false">PROVISIONALES!A70</f>
        <v>1.5.1.3</v>
      </c>
      <c r="C648" s="14" t="s">
        <v>264</v>
      </c>
      <c r="D648" s="14"/>
      <c r="E648" s="14"/>
      <c r="F648" s="14"/>
      <c r="G648" s="14"/>
      <c r="H648" s="14"/>
      <c r="I648" s="14"/>
    </row>
    <row r="649" customFormat="false" ht="15" hidden="false" customHeight="false" outlineLevel="0" collapsed="false">
      <c r="A649" s="14" t="s">
        <v>279</v>
      </c>
      <c r="B649" s="14" t="s">
        <v>280</v>
      </c>
      <c r="C649" s="36" t="s">
        <v>281</v>
      </c>
      <c r="D649" s="52" t="n">
        <v>1</v>
      </c>
      <c r="E649" s="36" t="s">
        <v>282</v>
      </c>
      <c r="F649" s="52" t="n">
        <f aca="false">D649</f>
        <v>1</v>
      </c>
      <c r="G649" s="14" t="s">
        <v>283</v>
      </c>
      <c r="I649" s="36" t="s">
        <v>134</v>
      </c>
      <c r="J649" s="53" t="n">
        <f aca="false">J653</f>
        <v>20.09</v>
      </c>
    </row>
    <row r="650" customFormat="false" ht="15" hidden="false" customHeight="false" outlineLevel="0" collapsed="false">
      <c r="A650" s="14" t="s">
        <v>284</v>
      </c>
      <c r="B650" s="14" t="s">
        <v>285</v>
      </c>
      <c r="F650" s="36" t="s">
        <v>123</v>
      </c>
      <c r="G650" s="36" t="s">
        <v>286</v>
      </c>
      <c r="H650" s="36" t="s">
        <v>287</v>
      </c>
      <c r="I650" s="36" t="s">
        <v>288</v>
      </c>
      <c r="J650" s="36" t="s">
        <v>289</v>
      </c>
    </row>
    <row r="651" customFormat="false" ht="15" hidden="false" customHeight="false" outlineLevel="0" collapsed="false">
      <c r="B651" s="54" t="s">
        <v>295</v>
      </c>
    </row>
    <row r="652" customFormat="false" ht="15" hidden="false" customHeight="false" outlineLevel="0" collapsed="false">
      <c r="B652" s="1" t="s">
        <v>264</v>
      </c>
      <c r="F652" s="55" t="s">
        <v>134</v>
      </c>
      <c r="G652" s="56"/>
      <c r="H652" s="57" t="n">
        <v>1</v>
      </c>
      <c r="I652" s="1" t="n">
        <v>20.09</v>
      </c>
      <c r="J652" s="28" t="n">
        <f aca="false">H652*I652</f>
        <v>20.09</v>
      </c>
    </row>
    <row r="653" customFormat="false" ht="15" hidden="false" customHeight="false" outlineLevel="0" collapsed="false">
      <c r="A653" s="60"/>
      <c r="B653" s="60"/>
      <c r="C653" s="60"/>
      <c r="D653" s="60"/>
      <c r="E653" s="60"/>
      <c r="F653" s="62"/>
      <c r="G653" s="63"/>
      <c r="H653" s="64"/>
      <c r="I653" s="65"/>
      <c r="J653" s="61" t="n">
        <f aca="false">SUM(J652)</f>
        <v>20.09</v>
      </c>
    </row>
    <row r="655" customFormat="false" ht="15" hidden="false" customHeight="false" outlineLevel="0" collapsed="false">
      <c r="A655" s="14" t="s">
        <v>334</v>
      </c>
      <c r="B655" s="14" t="str">
        <f aca="false">PROVISIONALES!A71</f>
        <v>1.5.1.4</v>
      </c>
      <c r="C655" s="14" t="s">
        <v>266</v>
      </c>
      <c r="D655" s="14"/>
      <c r="E655" s="14"/>
      <c r="F655" s="14"/>
      <c r="G655" s="14"/>
      <c r="H655" s="14"/>
      <c r="I655" s="14"/>
    </row>
    <row r="656" customFormat="false" ht="15" hidden="false" customHeight="false" outlineLevel="0" collapsed="false">
      <c r="A656" s="14" t="s">
        <v>279</v>
      </c>
      <c r="B656" s="14" t="s">
        <v>280</v>
      </c>
      <c r="C656" s="36" t="s">
        <v>281</v>
      </c>
      <c r="D656" s="52" t="n">
        <v>1</v>
      </c>
      <c r="E656" s="36" t="s">
        <v>282</v>
      </c>
      <c r="F656" s="52" t="n">
        <f aca="false">D656</f>
        <v>1</v>
      </c>
      <c r="G656" s="14" t="s">
        <v>283</v>
      </c>
      <c r="I656" s="36" t="s">
        <v>134</v>
      </c>
      <c r="J656" s="53" t="n">
        <f aca="false">J660</f>
        <v>20.09</v>
      </c>
    </row>
    <row r="657" customFormat="false" ht="15" hidden="false" customHeight="false" outlineLevel="0" collapsed="false">
      <c r="A657" s="14" t="s">
        <v>284</v>
      </c>
      <c r="B657" s="14" t="s">
        <v>285</v>
      </c>
      <c r="F657" s="36" t="s">
        <v>123</v>
      </c>
      <c r="G657" s="36" t="s">
        <v>286</v>
      </c>
      <c r="H657" s="36" t="s">
        <v>287</v>
      </c>
      <c r="I657" s="36" t="s">
        <v>288</v>
      </c>
      <c r="J657" s="36" t="s">
        <v>289</v>
      </c>
    </row>
    <row r="658" customFormat="false" ht="15" hidden="false" customHeight="false" outlineLevel="0" collapsed="false">
      <c r="B658" s="54" t="s">
        <v>295</v>
      </c>
    </row>
    <row r="659" customFormat="false" ht="15" hidden="false" customHeight="false" outlineLevel="0" collapsed="false">
      <c r="B659" s="1" t="s">
        <v>266</v>
      </c>
      <c r="F659" s="55" t="s">
        <v>134</v>
      </c>
      <c r="G659" s="56"/>
      <c r="H659" s="57" t="n">
        <v>1</v>
      </c>
      <c r="I659" s="1" t="n">
        <v>20.09</v>
      </c>
      <c r="J659" s="28" t="n">
        <f aca="false">H659*I659</f>
        <v>20.09</v>
      </c>
    </row>
    <row r="660" customFormat="false" ht="15" hidden="false" customHeight="false" outlineLevel="0" collapsed="false">
      <c r="A660" s="60"/>
      <c r="B660" s="60"/>
      <c r="C660" s="60"/>
      <c r="D660" s="60"/>
      <c r="E660" s="60"/>
      <c r="F660" s="62"/>
      <c r="G660" s="63"/>
      <c r="H660" s="64"/>
      <c r="I660" s="65"/>
      <c r="J660" s="61" t="n">
        <f aca="false">SUM(J659)</f>
        <v>20.09</v>
      </c>
    </row>
    <row r="662" customFormat="false" ht="15" hidden="false" customHeight="false" outlineLevel="0" collapsed="false">
      <c r="A662" s="14" t="s">
        <v>334</v>
      </c>
      <c r="B662" s="14" t="str">
        <f aca="false">PROVISIONALES!A72</f>
        <v>1.5.1.5</v>
      </c>
      <c r="C662" s="14" t="s">
        <v>268</v>
      </c>
      <c r="D662" s="14"/>
      <c r="E662" s="14"/>
      <c r="F662" s="14"/>
      <c r="G662" s="14"/>
      <c r="H662" s="14"/>
      <c r="I662" s="14"/>
    </row>
    <row r="663" customFormat="false" ht="15" hidden="false" customHeight="false" outlineLevel="0" collapsed="false">
      <c r="A663" s="14" t="s">
        <v>279</v>
      </c>
      <c r="B663" s="14" t="s">
        <v>280</v>
      </c>
      <c r="C663" s="36" t="s">
        <v>281</v>
      </c>
      <c r="D663" s="52" t="n">
        <v>1</v>
      </c>
      <c r="E663" s="36" t="s">
        <v>282</v>
      </c>
      <c r="F663" s="52" t="n">
        <f aca="false">D663</f>
        <v>1</v>
      </c>
      <c r="G663" s="14" t="s">
        <v>283</v>
      </c>
      <c r="I663" s="36" t="s">
        <v>134</v>
      </c>
      <c r="J663" s="53" t="n">
        <f aca="false">J667</f>
        <v>20.09</v>
      </c>
    </row>
    <row r="664" customFormat="false" ht="15" hidden="false" customHeight="false" outlineLevel="0" collapsed="false">
      <c r="A664" s="14" t="s">
        <v>284</v>
      </c>
      <c r="B664" s="14" t="s">
        <v>285</v>
      </c>
      <c r="F664" s="36" t="s">
        <v>123</v>
      </c>
      <c r="G664" s="36" t="s">
        <v>286</v>
      </c>
      <c r="H664" s="36" t="s">
        <v>287</v>
      </c>
      <c r="I664" s="36" t="s">
        <v>288</v>
      </c>
      <c r="J664" s="36" t="s">
        <v>289</v>
      </c>
    </row>
    <row r="665" customFormat="false" ht="15" hidden="false" customHeight="false" outlineLevel="0" collapsed="false">
      <c r="B665" s="54" t="s">
        <v>295</v>
      </c>
    </row>
    <row r="666" customFormat="false" ht="15" hidden="false" customHeight="false" outlineLevel="0" collapsed="false">
      <c r="B666" s="1" t="s">
        <v>268</v>
      </c>
      <c r="F666" s="55" t="s">
        <v>134</v>
      </c>
      <c r="G666" s="56"/>
      <c r="H666" s="57" t="n">
        <v>1</v>
      </c>
      <c r="I666" s="1" t="n">
        <v>20.09</v>
      </c>
      <c r="J666" s="28" t="n">
        <f aca="false">H666*I666</f>
        <v>20.09</v>
      </c>
    </row>
    <row r="667" customFormat="false" ht="15" hidden="false" customHeight="false" outlineLevel="0" collapsed="false">
      <c r="A667" s="60"/>
      <c r="B667" s="60"/>
      <c r="C667" s="60"/>
      <c r="D667" s="60"/>
      <c r="E667" s="60"/>
      <c r="F667" s="62"/>
      <c r="G667" s="63"/>
      <c r="H667" s="64"/>
      <c r="I667" s="65"/>
      <c r="J667" s="61" t="n">
        <f aca="false">SUM(J666)</f>
        <v>20.09</v>
      </c>
    </row>
    <row r="669" customFormat="false" ht="15" hidden="false" customHeight="false" outlineLevel="0" collapsed="false">
      <c r="A669" s="14" t="s">
        <v>334</v>
      </c>
      <c r="B669" s="14" t="str">
        <f aca="false">PROVISIONALES!A73</f>
        <v>1.5.1.6</v>
      </c>
      <c r="C669" s="14" t="s">
        <v>270</v>
      </c>
      <c r="D669" s="14"/>
      <c r="E669" s="14"/>
      <c r="F669" s="14"/>
      <c r="G669" s="14"/>
      <c r="H669" s="14"/>
      <c r="I669" s="14"/>
    </row>
    <row r="670" customFormat="false" ht="15" hidden="false" customHeight="false" outlineLevel="0" collapsed="false">
      <c r="A670" s="14" t="s">
        <v>279</v>
      </c>
      <c r="B670" s="14" t="s">
        <v>280</v>
      </c>
      <c r="C670" s="36" t="s">
        <v>281</v>
      </c>
      <c r="D670" s="52" t="n">
        <v>1</v>
      </c>
      <c r="E670" s="36" t="s">
        <v>282</v>
      </c>
      <c r="F670" s="52" t="n">
        <f aca="false">D670</f>
        <v>1</v>
      </c>
      <c r="G670" s="14" t="s">
        <v>283</v>
      </c>
      <c r="I670" s="36" t="s">
        <v>134</v>
      </c>
      <c r="J670" s="53" t="n">
        <f aca="false">J674</f>
        <v>20.09</v>
      </c>
    </row>
    <row r="671" customFormat="false" ht="15" hidden="false" customHeight="false" outlineLevel="0" collapsed="false">
      <c r="A671" s="14" t="s">
        <v>284</v>
      </c>
      <c r="B671" s="14" t="s">
        <v>285</v>
      </c>
      <c r="F671" s="36" t="s">
        <v>123</v>
      </c>
      <c r="G671" s="36" t="s">
        <v>286</v>
      </c>
      <c r="H671" s="36" t="s">
        <v>287</v>
      </c>
      <c r="I671" s="36" t="s">
        <v>288</v>
      </c>
      <c r="J671" s="36" t="s">
        <v>289</v>
      </c>
    </row>
    <row r="672" customFormat="false" ht="15" hidden="false" customHeight="false" outlineLevel="0" collapsed="false">
      <c r="B672" s="54" t="s">
        <v>295</v>
      </c>
    </row>
    <row r="673" customFormat="false" ht="15" hidden="false" customHeight="false" outlineLevel="0" collapsed="false">
      <c r="B673" s="1" t="s">
        <v>270</v>
      </c>
      <c r="F673" s="55" t="s">
        <v>134</v>
      </c>
      <c r="G673" s="56"/>
      <c r="H673" s="57" t="n">
        <v>1</v>
      </c>
      <c r="I673" s="1" t="n">
        <v>20.09</v>
      </c>
      <c r="J673" s="28" t="n">
        <f aca="false">H673*I673</f>
        <v>20.09</v>
      </c>
    </row>
    <row r="674" customFormat="false" ht="15" hidden="false" customHeight="false" outlineLevel="0" collapsed="false">
      <c r="A674" s="60"/>
      <c r="B674" s="60"/>
      <c r="C674" s="60"/>
      <c r="D674" s="60"/>
      <c r="E674" s="60"/>
      <c r="F674" s="62"/>
      <c r="G674" s="63"/>
      <c r="H674" s="64"/>
      <c r="I674" s="65"/>
      <c r="J674" s="61" t="n">
        <f aca="false">SUM(J673)</f>
        <v>20.09</v>
      </c>
    </row>
    <row r="676" customFormat="false" ht="15" hidden="false" customHeight="false" outlineLevel="0" collapsed="false">
      <c r="A676" s="14" t="s">
        <v>334</v>
      </c>
      <c r="B676" s="14" t="str">
        <f aca="false">PROVISIONALES!A74</f>
        <v>1.5.1.7</v>
      </c>
      <c r="C676" s="14" t="s">
        <v>272</v>
      </c>
      <c r="D676" s="14"/>
      <c r="E676" s="14"/>
      <c r="F676" s="14"/>
      <c r="G676" s="14"/>
      <c r="H676" s="14"/>
      <c r="I676" s="14"/>
    </row>
    <row r="677" customFormat="false" ht="15" hidden="false" customHeight="false" outlineLevel="0" collapsed="false">
      <c r="A677" s="14" t="s">
        <v>279</v>
      </c>
      <c r="B677" s="14" t="s">
        <v>280</v>
      </c>
      <c r="C677" s="36" t="s">
        <v>281</v>
      </c>
      <c r="D677" s="52" t="n">
        <v>1</v>
      </c>
      <c r="E677" s="36" t="s">
        <v>282</v>
      </c>
      <c r="F677" s="52" t="n">
        <f aca="false">D677</f>
        <v>1</v>
      </c>
      <c r="G677" s="14" t="s">
        <v>283</v>
      </c>
      <c r="I677" s="36" t="s">
        <v>134</v>
      </c>
      <c r="J677" s="53" t="n">
        <f aca="false">J681</f>
        <v>20.09</v>
      </c>
    </row>
    <row r="678" customFormat="false" ht="15" hidden="false" customHeight="false" outlineLevel="0" collapsed="false">
      <c r="A678" s="14" t="s">
        <v>284</v>
      </c>
      <c r="B678" s="14" t="s">
        <v>285</v>
      </c>
      <c r="F678" s="36" t="s">
        <v>123</v>
      </c>
      <c r="G678" s="36" t="s">
        <v>286</v>
      </c>
      <c r="H678" s="36" t="s">
        <v>287</v>
      </c>
      <c r="I678" s="36" t="s">
        <v>288</v>
      </c>
      <c r="J678" s="36" t="s">
        <v>289</v>
      </c>
    </row>
    <row r="679" customFormat="false" ht="15" hidden="false" customHeight="false" outlineLevel="0" collapsed="false">
      <c r="B679" s="54" t="s">
        <v>295</v>
      </c>
    </row>
    <row r="680" customFormat="false" ht="15" hidden="false" customHeight="false" outlineLevel="0" collapsed="false">
      <c r="B680" s="1" t="s">
        <v>272</v>
      </c>
      <c r="F680" s="55" t="s">
        <v>134</v>
      </c>
      <c r="G680" s="56"/>
      <c r="H680" s="57" t="n">
        <v>1</v>
      </c>
      <c r="I680" s="1" t="n">
        <v>20.09</v>
      </c>
      <c r="J680" s="28" t="n">
        <f aca="false">H680*I680</f>
        <v>20.09</v>
      </c>
    </row>
    <row r="681" customFormat="false" ht="15" hidden="false" customHeight="false" outlineLevel="0" collapsed="false">
      <c r="A681" s="60"/>
      <c r="B681" s="60"/>
      <c r="C681" s="60"/>
      <c r="D681" s="60"/>
      <c r="E681" s="60"/>
      <c r="F681" s="62"/>
      <c r="G681" s="63"/>
      <c r="H681" s="64"/>
      <c r="I681" s="65"/>
      <c r="J681" s="61" t="n">
        <f aca="false">SUM(J680)</f>
        <v>20.09</v>
      </c>
    </row>
    <row r="683" customFormat="false" ht="15" hidden="false" customHeight="false" outlineLevel="0" collapsed="false">
      <c r="A683" s="14" t="s">
        <v>334</v>
      </c>
      <c r="B683" s="14" t="str">
        <f aca="false">PROVISIONALES!A76</f>
        <v>1.5.2.1</v>
      </c>
      <c r="C683" s="14" t="s">
        <v>275</v>
      </c>
      <c r="D683" s="14"/>
      <c r="E683" s="14"/>
      <c r="F683" s="14"/>
      <c r="G683" s="14"/>
      <c r="H683" s="14"/>
      <c r="I683" s="14"/>
    </row>
    <row r="684" customFormat="false" ht="15" hidden="false" customHeight="false" outlineLevel="0" collapsed="false">
      <c r="A684" s="14" t="s">
        <v>279</v>
      </c>
      <c r="B684" s="14" t="s">
        <v>280</v>
      </c>
      <c r="C684" s="36" t="s">
        <v>281</v>
      </c>
      <c r="D684" s="52" t="n">
        <v>1</v>
      </c>
      <c r="E684" s="36" t="s">
        <v>282</v>
      </c>
      <c r="F684" s="52" t="n">
        <f aca="false">D684</f>
        <v>1</v>
      </c>
      <c r="G684" s="14" t="s">
        <v>283</v>
      </c>
      <c r="I684" s="36" t="s">
        <v>134</v>
      </c>
      <c r="J684" s="53" t="n">
        <f aca="false">J688</f>
        <v>54.2</v>
      </c>
    </row>
    <row r="685" customFormat="false" ht="15" hidden="false" customHeight="false" outlineLevel="0" collapsed="false">
      <c r="A685" s="14" t="s">
        <v>284</v>
      </c>
      <c r="B685" s="14" t="s">
        <v>285</v>
      </c>
      <c r="F685" s="36" t="s">
        <v>123</v>
      </c>
      <c r="G685" s="36" t="s">
        <v>286</v>
      </c>
      <c r="H685" s="36" t="s">
        <v>287</v>
      </c>
      <c r="I685" s="36" t="s">
        <v>288</v>
      </c>
      <c r="J685" s="36" t="s">
        <v>289</v>
      </c>
    </row>
    <row r="686" customFormat="false" ht="15" hidden="false" customHeight="false" outlineLevel="0" collapsed="false">
      <c r="B686" s="54" t="s">
        <v>295</v>
      </c>
    </row>
    <row r="687" customFormat="false" ht="15" hidden="false" customHeight="false" outlineLevel="0" collapsed="false">
      <c r="B687" s="1" t="s">
        <v>275</v>
      </c>
      <c r="F687" s="55" t="s">
        <v>134</v>
      </c>
      <c r="G687" s="56"/>
      <c r="H687" s="57" t="n">
        <v>1</v>
      </c>
      <c r="I687" s="1" t="n">
        <v>54.2</v>
      </c>
      <c r="J687" s="28" t="n">
        <f aca="false">H687*I687</f>
        <v>54.2</v>
      </c>
    </row>
    <row r="688" customFormat="false" ht="15" hidden="false" customHeight="false" outlineLevel="0" collapsed="false">
      <c r="A688" s="60"/>
      <c r="B688" s="60"/>
      <c r="C688" s="60"/>
      <c r="D688" s="60"/>
      <c r="E688" s="60"/>
      <c r="F688" s="62"/>
      <c r="G688" s="63"/>
      <c r="H688" s="64"/>
      <c r="I688" s="65"/>
      <c r="J688" s="61" t="n">
        <f aca="false">SUM(J687)</f>
        <v>54.2</v>
      </c>
    </row>
    <row r="690" customFormat="false" ht="15" hidden="false" customHeight="false" outlineLevel="0" collapsed="false">
      <c r="A690" s="14" t="s">
        <v>334</v>
      </c>
      <c r="B690" s="14" t="str">
        <f aca="false">PROVISIONALES!A77</f>
        <v>1.5.2.2</v>
      </c>
      <c r="C690" s="14" t="s">
        <v>277</v>
      </c>
      <c r="D690" s="14"/>
      <c r="E690" s="14"/>
      <c r="F690" s="14"/>
      <c r="G690" s="14"/>
      <c r="H690" s="14"/>
      <c r="I690" s="14"/>
    </row>
    <row r="691" customFormat="false" ht="15" hidden="false" customHeight="false" outlineLevel="0" collapsed="false">
      <c r="A691" s="14" t="s">
        <v>279</v>
      </c>
      <c r="B691" s="14" t="s">
        <v>280</v>
      </c>
      <c r="C691" s="36" t="s">
        <v>281</v>
      </c>
      <c r="D691" s="52" t="n">
        <v>1</v>
      </c>
      <c r="E691" s="36" t="s">
        <v>282</v>
      </c>
      <c r="F691" s="52" t="n">
        <f aca="false">D691</f>
        <v>1</v>
      </c>
      <c r="G691" s="14" t="s">
        <v>283</v>
      </c>
      <c r="I691" s="36" t="s">
        <v>134</v>
      </c>
      <c r="J691" s="53" t="n">
        <f aca="false">J695</f>
        <v>40.17</v>
      </c>
    </row>
    <row r="692" customFormat="false" ht="15" hidden="false" customHeight="false" outlineLevel="0" collapsed="false">
      <c r="A692" s="14" t="s">
        <v>284</v>
      </c>
      <c r="B692" s="14" t="s">
        <v>285</v>
      </c>
      <c r="F692" s="36" t="s">
        <v>123</v>
      </c>
      <c r="G692" s="36" t="s">
        <v>286</v>
      </c>
      <c r="H692" s="36" t="s">
        <v>287</v>
      </c>
      <c r="I692" s="36" t="s">
        <v>288</v>
      </c>
      <c r="J692" s="36" t="s">
        <v>289</v>
      </c>
    </row>
    <row r="693" customFormat="false" ht="15" hidden="false" customHeight="false" outlineLevel="0" collapsed="false">
      <c r="B693" s="54" t="s">
        <v>295</v>
      </c>
    </row>
    <row r="694" customFormat="false" ht="15" hidden="false" customHeight="false" outlineLevel="0" collapsed="false">
      <c r="B694" s="1" t="s">
        <v>277</v>
      </c>
      <c r="F694" s="55" t="s">
        <v>134</v>
      </c>
      <c r="G694" s="56"/>
      <c r="H694" s="57" t="n">
        <v>1</v>
      </c>
      <c r="I694" s="1" t="n">
        <v>40.17</v>
      </c>
      <c r="J694" s="28" t="n">
        <f aca="false">H694*I694</f>
        <v>40.17</v>
      </c>
    </row>
    <row r="695" customFormat="false" ht="15" hidden="false" customHeight="false" outlineLevel="0" collapsed="false">
      <c r="A695" s="60"/>
      <c r="B695" s="60"/>
      <c r="C695" s="60"/>
      <c r="D695" s="60"/>
      <c r="E695" s="60"/>
      <c r="F695" s="62"/>
      <c r="G695" s="63"/>
      <c r="H695" s="64"/>
      <c r="I695" s="65"/>
      <c r="J695" s="61" t="n">
        <f aca="false">SUM(J694)</f>
        <v>40.17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AI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46" activeCellId="0" sqref="O46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4.29"/>
    <col collapsed="false" customWidth="true" hidden="false" outlineLevel="0" max="8" min="8" style="1" width="11"/>
    <col collapsed="false" customWidth="true" hidden="false" outlineLevel="0" max="9" min="9" style="1" width="11.57"/>
    <col collapsed="false" customWidth="true" hidden="false" outlineLevel="0" max="10" min="10" style="1" width="14.29"/>
    <col collapsed="false" customWidth="true" hidden="false" outlineLevel="0" max="11" min="11" style="1" width="14"/>
    <col collapsed="false" customWidth="true" hidden="false" outlineLevel="0" max="12" min="12" style="1" width="17.3"/>
    <col collapsed="false" customWidth="true" hidden="false" outlineLevel="0" max="15" min="14" style="1" width="15.15"/>
    <col collapsed="false" customWidth="true" hidden="false" outlineLevel="0" max="31" min="31" style="1" width="27"/>
  </cols>
  <sheetData>
    <row r="1" customFormat="false" ht="15" hidden="false" customHeight="false" outlineLevel="0" collapsed="false">
      <c r="A1" s="55"/>
      <c r="G1" s="36" t="s">
        <v>123</v>
      </c>
      <c r="H1" s="36" t="s">
        <v>124</v>
      </c>
      <c r="I1" s="36" t="s">
        <v>125</v>
      </c>
      <c r="J1" s="36" t="s">
        <v>454</v>
      </c>
      <c r="K1" s="36" t="s">
        <v>455</v>
      </c>
    </row>
    <row r="2" customFormat="false" ht="15" hidden="false" customHeight="false" outlineLevel="0" collapsed="false">
      <c r="A2" s="14" t="n">
        <v>2</v>
      </c>
      <c r="B2" s="66" t="s">
        <v>456</v>
      </c>
      <c r="H2" s="9"/>
      <c r="I2" s="9"/>
      <c r="J2" s="9"/>
      <c r="K2" s="67" t="n">
        <f aca="false">J3+J13+J22+J71</f>
        <v>5013492.40414029</v>
      </c>
      <c r="M2" s="9"/>
    </row>
    <row r="3" customFormat="false" ht="15" hidden="false" customHeight="false" outlineLevel="0" collapsed="false">
      <c r="A3" s="14" t="n">
        <v>2.01</v>
      </c>
      <c r="B3" s="68" t="s">
        <v>457</v>
      </c>
      <c r="C3" s="14"/>
      <c r="H3" s="9"/>
      <c r="I3" s="9"/>
      <c r="J3" s="40" t="n">
        <f aca="false">SUM(J4:J12)</f>
        <v>391956.173702407</v>
      </c>
      <c r="K3" s="9"/>
      <c r="N3" s="14"/>
      <c r="O3" s="14"/>
    </row>
    <row r="4" customFormat="false" ht="15" hidden="false" customHeight="false" outlineLevel="0" collapsed="false">
      <c r="A4" s="1" t="s">
        <v>458</v>
      </c>
      <c r="B4" s="69" t="s">
        <v>459</v>
      </c>
      <c r="G4" s="6" t="s">
        <v>204</v>
      </c>
      <c r="H4" s="9" t="n">
        <f aca="false">'Cimentación 1 piso'!H9+'Cimentación 2 pisos '!H9+'Cimentación 3 pisos'!H9+'Cimentación 4 pisos'!H9+'Platea de Cimentacion'!H9</f>
        <v>5046.84509102845</v>
      </c>
      <c r="I4" s="9" t="n">
        <f aca="false">'APU ESTRUCTURAS'!J2</f>
        <v>8.45820448</v>
      </c>
      <c r="J4" s="9" t="n">
        <f aca="false">H4*I4</f>
        <v>42687.2477588028</v>
      </c>
      <c r="K4" s="9"/>
      <c r="O4" s="14"/>
      <c r="U4" s="26"/>
    </row>
    <row r="5" customFormat="false" ht="15" hidden="false" customHeight="false" outlineLevel="0" collapsed="false">
      <c r="A5" s="1" t="s">
        <v>460</v>
      </c>
      <c r="B5" s="69" t="s">
        <v>461</v>
      </c>
      <c r="G5" s="6" t="s">
        <v>204</v>
      </c>
      <c r="H5" s="9" t="n">
        <f aca="false">'Cimentación 1 piso'!H10+'Cimentación 2 pisos '!H10+'Cimentación 3 pisos'!H10+'Cimentación 4 pisos'!H10+'Platea de Cimentacion'!H10</f>
        <v>67.9164105032823</v>
      </c>
      <c r="I5" s="9" t="n">
        <f aca="false">'APU ESTRUCTURAS'!J18</f>
        <v>49.40498</v>
      </c>
      <c r="J5" s="9" t="n">
        <f aca="false">H5*I5</f>
        <v>3355.40890258645</v>
      </c>
      <c r="K5" s="9"/>
      <c r="O5" s="14"/>
      <c r="T5" s="6"/>
      <c r="U5" s="9"/>
      <c r="V5" s="9"/>
      <c r="W5" s="41"/>
      <c r="AE5" s="15"/>
      <c r="AI5" s="26"/>
    </row>
    <row r="6" customFormat="false" ht="15" hidden="false" customHeight="false" outlineLevel="0" collapsed="false">
      <c r="A6" s="1" t="s">
        <v>462</v>
      </c>
      <c r="B6" s="69" t="s">
        <v>463</v>
      </c>
      <c r="G6" s="6" t="s">
        <v>204</v>
      </c>
      <c r="H6" s="9" t="n">
        <f aca="false">'Cimentación 1 piso'!H11+'Cimentación 2 pisos '!H11+'Cimentación 3 pisos'!H11+'Cimentación 4 pisos'!H11+'Platea de Cimentacion'!H11</f>
        <v>311.245537417943</v>
      </c>
      <c r="I6" s="9" t="n">
        <f aca="false">'APU ESTRUCTURAS'!J29</f>
        <v>66.2342173333333</v>
      </c>
      <c r="J6" s="9" t="n">
        <f aca="false">H6*I6</f>
        <v>20615.1045693702</v>
      </c>
      <c r="K6" s="9"/>
      <c r="L6" s="55"/>
      <c r="M6" s="55"/>
      <c r="Q6" s="55"/>
      <c r="U6" s="26"/>
    </row>
    <row r="7" customFormat="false" ht="15" hidden="false" customHeight="false" outlineLevel="0" collapsed="false">
      <c r="A7" s="1" t="s">
        <v>464</v>
      </c>
      <c r="B7" s="69" t="s">
        <v>465</v>
      </c>
      <c r="G7" s="6" t="s">
        <v>204</v>
      </c>
      <c r="H7" s="9" t="n">
        <f aca="false">'Cimentación 1 piso'!H12+'Cimentación 2 pisos '!H12+'Cimentación 3 pisos'!H12+'Cimentación 4 pisos'!H12+'Platea de Cimentacion'!H12</f>
        <v>2980.24711721371</v>
      </c>
      <c r="I7" s="9" t="n">
        <f aca="false">'APU ESTRUCTURAS'!J46</f>
        <v>19.29963</v>
      </c>
      <c r="J7" s="9" t="n">
        <f aca="false">H7*I7</f>
        <v>57517.6666707913</v>
      </c>
      <c r="K7" s="9"/>
      <c r="L7" s="55"/>
      <c r="M7" s="55"/>
      <c r="T7" s="6"/>
      <c r="U7" s="9"/>
      <c r="V7" s="9"/>
      <c r="W7" s="41"/>
    </row>
    <row r="8" customFormat="false" ht="15" hidden="false" customHeight="false" outlineLevel="0" collapsed="false">
      <c r="A8" s="1" t="s">
        <v>466</v>
      </c>
      <c r="B8" s="69" t="s">
        <v>467</v>
      </c>
      <c r="G8" s="6" t="s">
        <v>134</v>
      </c>
      <c r="H8" s="9" t="n">
        <f aca="false">'Cimentación 1 piso'!H13+'Cimentación 2 pisos '!H13+'Cimentación 3 pisos'!H13+'Cimentación 4 pisos'!H13+'Platea de Cimentacion'!H13</f>
        <v>2371.29981911014</v>
      </c>
      <c r="I8" s="9" t="n">
        <f aca="false">'APU ESTRUCTURAS'!J63</f>
        <v>7.930344</v>
      </c>
      <c r="J8" s="9" t="n">
        <f aca="false">H8*I8</f>
        <v>18805.2232926812</v>
      </c>
      <c r="K8" s="9"/>
      <c r="L8" s="55"/>
      <c r="M8" s="55"/>
    </row>
    <row r="9" customFormat="false" ht="15" hidden="false" customHeight="false" outlineLevel="0" collapsed="false">
      <c r="A9" s="1" t="s">
        <v>468</v>
      </c>
      <c r="B9" s="69" t="s">
        <v>469</v>
      </c>
      <c r="G9" s="6" t="s">
        <v>134</v>
      </c>
      <c r="H9" s="9" t="n">
        <f aca="false">'Cimentación 1 piso'!H14+'Cimentación 2 pisos '!H14+'Cimentación 3 pisos'!H14+'Cimentación 4 pisos'!H14+'Platea de Cimentacion'!H14</f>
        <v>2667.95548039752</v>
      </c>
      <c r="I9" s="9" t="n">
        <f aca="false">'APU ESTRUCTURAS'!J78</f>
        <v>12.11253</v>
      </c>
      <c r="J9" s="9" t="n">
        <f aca="false">H9*I9</f>
        <v>32315.6907949794</v>
      </c>
      <c r="K9" s="9"/>
      <c r="L9" s="55"/>
      <c r="M9" s="55"/>
      <c r="P9" s="57"/>
      <c r="Q9" s="55"/>
      <c r="AE9" s="15"/>
    </row>
    <row r="10" customFormat="false" ht="15" hidden="false" customHeight="false" outlineLevel="0" collapsed="false">
      <c r="A10" s="1" t="s">
        <v>470</v>
      </c>
      <c r="B10" s="69" t="s">
        <v>471</v>
      </c>
      <c r="G10" s="6" t="s">
        <v>204</v>
      </c>
      <c r="H10" s="9" t="n">
        <f aca="false">'Cimentación 1 piso'!H15+'Cimentación 2 pisos '!H15+'Cimentación 3 pisos'!H15+'Cimentación 4 pisos'!H15+'Platea de Cimentacion'!H15</f>
        <v>2667.95548039752</v>
      </c>
      <c r="I10" s="9" t="n">
        <f aca="false">'APU ESTRUCTURAS'!J89</f>
        <v>22.9100074666667</v>
      </c>
      <c r="J10" s="9" t="n">
        <f aca="false">H10*I10</f>
        <v>61122.8799766414</v>
      </c>
      <c r="K10" s="9"/>
      <c r="L10" s="55"/>
      <c r="M10" s="55"/>
      <c r="P10" s="57"/>
      <c r="Q10" s="55"/>
    </row>
    <row r="11" customFormat="false" ht="15" hidden="false" customHeight="false" outlineLevel="0" collapsed="false">
      <c r="A11" s="1" t="s">
        <v>472</v>
      </c>
      <c r="B11" s="1" t="s">
        <v>473</v>
      </c>
      <c r="G11" s="6" t="s">
        <v>204</v>
      </c>
      <c r="H11" s="9" t="n">
        <f aca="false">'Obras exteriores '!D11+'Obras exteriores '!D27+'Obras exteriores '!D45</f>
        <v>4647.01</v>
      </c>
      <c r="I11" s="9" t="n">
        <f aca="false">'APU ESTRUCTURAS'!J102</f>
        <v>7.930344</v>
      </c>
      <c r="J11" s="9" t="n">
        <f aca="false">H11*I11</f>
        <v>36852.38787144</v>
      </c>
      <c r="K11" s="9"/>
      <c r="L11" s="55"/>
      <c r="M11" s="55"/>
      <c r="P11" s="57"/>
      <c r="Q11" s="55"/>
    </row>
    <row r="12" customFormat="false" ht="15" hidden="false" customHeight="false" outlineLevel="0" collapsed="false">
      <c r="A12" s="1" t="s">
        <v>474</v>
      </c>
      <c r="B12" s="1" t="s">
        <v>475</v>
      </c>
      <c r="G12" s="6" t="s">
        <v>204</v>
      </c>
      <c r="H12" s="9" t="n">
        <f aca="false">'Obras exteriores '!D12+'Obras exteriores '!D28+'Obras exteriores '!D46+'Obras exteriores '!D59</f>
        <v>1536.8133</v>
      </c>
      <c r="I12" s="9" t="n">
        <f aca="false">'APU ESTRUCTURAS'!J117</f>
        <v>77.2277048</v>
      </c>
      <c r="J12" s="9" t="n">
        <f aca="false">H12*I12</f>
        <v>118684.563865114</v>
      </c>
      <c r="K12" s="9"/>
      <c r="L12" s="55"/>
      <c r="M12" s="55"/>
      <c r="P12" s="57"/>
      <c r="Q12" s="55"/>
      <c r="AI12" s="26"/>
    </row>
    <row r="13" customFormat="false" ht="15" hidden="false" customHeight="false" outlineLevel="0" collapsed="false">
      <c r="A13" s="14" t="n">
        <v>2.02</v>
      </c>
      <c r="B13" s="68" t="s">
        <v>476</v>
      </c>
      <c r="G13" s="6"/>
      <c r="H13" s="9"/>
      <c r="I13" s="9"/>
      <c r="J13" s="40" t="n">
        <f aca="false">J14+J16+J18+J20</f>
        <v>305942.384799782</v>
      </c>
      <c r="L13" s="55"/>
      <c r="M13" s="55"/>
      <c r="P13" s="57"/>
      <c r="Q13" s="55"/>
      <c r="AE13" s="15"/>
    </row>
    <row r="14" customFormat="false" ht="15" hidden="false" customHeight="false" outlineLevel="0" collapsed="false">
      <c r="A14" s="14" t="s">
        <v>477</v>
      </c>
      <c r="B14" s="41" t="s">
        <v>478</v>
      </c>
      <c r="G14" s="6"/>
      <c r="H14" s="9"/>
      <c r="I14" s="9"/>
      <c r="J14" s="41" t="n">
        <f aca="false">SUM(J15)</f>
        <v>238.3435744</v>
      </c>
      <c r="L14" s="55"/>
      <c r="M14" s="55"/>
      <c r="P14" s="57"/>
      <c r="Q14" s="55"/>
      <c r="AE14" s="15"/>
    </row>
    <row r="15" customFormat="false" ht="15" hidden="false" customHeight="false" outlineLevel="0" collapsed="false">
      <c r="A15" s="1" t="s">
        <v>479</v>
      </c>
      <c r="B15" s="70" t="s">
        <v>480</v>
      </c>
      <c r="G15" s="6" t="s">
        <v>134</v>
      </c>
      <c r="H15" s="9" t="n">
        <f aca="false">'Platea de Cimentacion'!H17</f>
        <v>1</v>
      </c>
      <c r="I15" s="9" t="n">
        <f aca="false">'APU ESTRUCTURAS'!J139</f>
        <v>238.3435744</v>
      </c>
      <c r="J15" s="9" t="n">
        <f aca="false">H15*I15</f>
        <v>238.3435744</v>
      </c>
      <c r="L15" s="55"/>
      <c r="M15" s="55"/>
      <c r="O15" s="14"/>
      <c r="P15" s="57"/>
      <c r="Q15" s="55"/>
      <c r="AE15" s="15"/>
    </row>
    <row r="16" customFormat="false" ht="15" hidden="false" customHeight="false" outlineLevel="0" collapsed="false">
      <c r="A16" s="14" t="s">
        <v>481</v>
      </c>
      <c r="B16" s="41" t="s">
        <v>482</v>
      </c>
      <c r="G16" s="6"/>
      <c r="H16" s="9"/>
      <c r="I16" s="9"/>
      <c r="J16" s="43" t="n">
        <f aca="false">SUM(J17)</f>
        <v>264080.603049339</v>
      </c>
      <c r="K16" s="9"/>
      <c r="L16" s="55"/>
      <c r="M16" s="55"/>
      <c r="P16" s="57"/>
      <c r="Q16" s="55"/>
      <c r="U16" s="26"/>
      <c r="AE16" s="71"/>
    </row>
    <row r="17" customFormat="false" ht="15" hidden="false" customHeight="false" outlineLevel="0" collapsed="false">
      <c r="A17" s="1" t="s">
        <v>483</v>
      </c>
      <c r="B17" s="1" t="s">
        <v>484</v>
      </c>
      <c r="G17" s="6" t="s">
        <v>134</v>
      </c>
      <c r="H17" s="9" t="n">
        <f aca="false">'Cimentación 1 piso'!H17+'Cimentación 2 pisos '!H17+'Cimentación 3 pisos'!H17+'Cimentación 4 pisos'!H17+Escalera!D7</f>
        <v>1107.98289282238</v>
      </c>
      <c r="I17" s="9" t="n">
        <f aca="false">'APU ESTRUCTURAS'!J161</f>
        <v>238.3435744</v>
      </c>
      <c r="J17" s="9" t="n">
        <f aca="false">H17*I17</f>
        <v>264080.603049339</v>
      </c>
      <c r="K17" s="9"/>
      <c r="L17" s="55"/>
      <c r="M17" s="55"/>
      <c r="P17" s="57"/>
      <c r="Q17" s="55"/>
      <c r="AE17" s="71"/>
      <c r="AI17" s="26"/>
    </row>
    <row r="18" customFormat="false" ht="15" hidden="false" customHeight="false" outlineLevel="0" collapsed="false">
      <c r="A18" s="14" t="s">
        <v>485</v>
      </c>
      <c r="B18" s="41" t="s">
        <v>486</v>
      </c>
      <c r="G18" s="6"/>
      <c r="H18" s="9"/>
      <c r="I18" s="9"/>
      <c r="J18" s="43" t="n">
        <f aca="false">SUM(J19)</f>
        <v>40056.9144067111</v>
      </c>
      <c r="K18" s="9"/>
      <c r="P18" s="57"/>
      <c r="Q18" s="55"/>
      <c r="U18" s="15"/>
      <c r="AE18" s="71"/>
      <c r="AI18" s="26"/>
    </row>
    <row r="19" customFormat="false" ht="15" hidden="false" customHeight="false" outlineLevel="0" collapsed="false">
      <c r="A19" s="1" t="s">
        <v>487</v>
      </c>
      <c r="B19" s="1" t="s">
        <v>488</v>
      </c>
      <c r="G19" s="6" t="s">
        <v>134</v>
      </c>
      <c r="H19" s="9" t="n">
        <f aca="false">'Cimentación 1 piso'!H19+'Cimentación 2 pisos '!H19+'Cimentación 3 pisos'!H19+'Cimentación 4 pisos'!H19+Escalera!D8</f>
        <v>1011.00512074744</v>
      </c>
      <c r="I19" s="9" t="n">
        <f aca="false">'APU ESTRUCTURAS'!J183</f>
        <v>39.6208818181818</v>
      </c>
      <c r="J19" s="9" t="n">
        <f aca="false">H19*I19</f>
        <v>40056.9144067111</v>
      </c>
      <c r="K19" s="9"/>
      <c r="L19" s="55"/>
      <c r="P19" s="57"/>
      <c r="Q19" s="55"/>
      <c r="AE19" s="71"/>
    </row>
    <row r="20" customFormat="false" ht="15" hidden="false" customHeight="false" outlineLevel="0" collapsed="false">
      <c r="A20" s="14" t="s">
        <v>489</v>
      </c>
      <c r="B20" s="41" t="s">
        <v>490</v>
      </c>
      <c r="G20" s="6"/>
      <c r="H20" s="9"/>
      <c r="I20" s="9"/>
      <c r="J20" s="43" t="n">
        <f aca="false">SUM(J21)</f>
        <v>1566.52376933117</v>
      </c>
      <c r="K20" s="9"/>
      <c r="P20" s="57"/>
      <c r="Q20" s="55"/>
      <c r="U20" s="15"/>
      <c r="AE20" s="72"/>
      <c r="AF20" s="73"/>
    </row>
    <row r="21" customFormat="false" ht="15" hidden="false" customHeight="false" outlineLevel="0" collapsed="false">
      <c r="A21" s="1" t="s">
        <v>491</v>
      </c>
      <c r="B21" s="1" t="s">
        <v>492</v>
      </c>
      <c r="G21" s="6" t="s">
        <v>134</v>
      </c>
      <c r="H21" s="9" t="n">
        <f aca="false">'Cimentación 1 piso'!H21+'Cimentación 2 pisos '!H21+'Cimentación 3 pisos'!H21+'Cimentación 4 pisos'!H21</f>
        <v>57.749060539752</v>
      </c>
      <c r="I21" s="9" t="n">
        <f aca="false">'APU ESTRUCTURAS'!J202</f>
        <v>27.126394</v>
      </c>
      <c r="J21" s="9" t="n">
        <f aca="false">H21*I21</f>
        <v>1566.52376933117</v>
      </c>
      <c r="K21" s="9"/>
      <c r="P21" s="57"/>
      <c r="Q21" s="55"/>
      <c r="AE21" s="73"/>
      <c r="AF21" s="73"/>
    </row>
    <row r="22" customFormat="false" ht="15" hidden="false" customHeight="false" outlineLevel="0" collapsed="false">
      <c r="A22" s="14" t="n">
        <v>2.03</v>
      </c>
      <c r="B22" s="13" t="s">
        <v>493</v>
      </c>
      <c r="G22" s="6"/>
      <c r="H22" s="9"/>
      <c r="I22" s="9"/>
      <c r="J22" s="40" t="n">
        <f aca="false">J23+J26+J30+J34+J38+J42+J46+J50+J54+J59+J63+J67</f>
        <v>3674758.45676097</v>
      </c>
      <c r="P22" s="57"/>
      <c r="Q22" s="55"/>
      <c r="U22" s="15"/>
      <c r="AE22" s="73"/>
      <c r="AF22" s="73"/>
      <c r="AI22" s="26"/>
    </row>
    <row r="23" customFormat="false" ht="15" hidden="false" customHeight="false" outlineLevel="0" collapsed="false">
      <c r="A23" s="14" t="s">
        <v>494</v>
      </c>
      <c r="B23" s="41" t="s">
        <v>495</v>
      </c>
      <c r="G23" s="6"/>
      <c r="H23" s="9"/>
      <c r="I23" s="9"/>
      <c r="J23" s="43" t="n">
        <f aca="false">SUM(J24:J25)</f>
        <v>445193.988893976</v>
      </c>
      <c r="K23" s="9"/>
      <c r="Q23" s="55"/>
      <c r="U23" s="15"/>
      <c r="AE23" s="73"/>
      <c r="AF23" s="73"/>
    </row>
    <row r="24" customFormat="false" ht="15" hidden="false" customHeight="false" outlineLevel="0" collapsed="false">
      <c r="A24" s="1" t="s">
        <v>496</v>
      </c>
      <c r="B24" s="1" t="s">
        <v>497</v>
      </c>
      <c r="G24" s="6" t="s">
        <v>204</v>
      </c>
      <c r="H24" s="9" t="n">
        <f aca="false">'Cimentación 1 piso'!H24+'Cimentación 2 pisos '!H24+'Cimentación 3 pisos'!H24+'Cimentación 4 pisos'!H24</f>
        <v>707.876584835886</v>
      </c>
      <c r="I24" s="9" t="n">
        <f aca="false">'APU ESTRUCTURAS'!J221</f>
        <v>426.397544</v>
      </c>
      <c r="J24" s="9" t="n">
        <f aca="false">H24*I24</f>
        <v>301836.83722913</v>
      </c>
      <c r="K24" s="9"/>
      <c r="O24" s="14"/>
    </row>
    <row r="25" customFormat="false" ht="16.4" hidden="false" customHeight="false" outlineLevel="0" collapsed="false">
      <c r="A25" s="1" t="s">
        <v>498</v>
      </c>
      <c r="B25" s="1" t="s">
        <v>499</v>
      </c>
      <c r="G25" s="74" t="s">
        <v>297</v>
      </c>
      <c r="H25" s="9" t="n">
        <f aca="false">'Cimentación 1 piso'!H25+'Cimentación 2 pisos '!H25+'Cimentación 3 pisos'!H25+'Cimentación 4 pisos'!H25</f>
        <v>25765.2963672385</v>
      </c>
      <c r="I25" s="9" t="n">
        <f aca="false">'APU ESTRUCTURAS'!J260</f>
        <v>5.5639628445</v>
      </c>
      <c r="J25" s="9" t="n">
        <f aca="false">H25*I25</f>
        <v>143357.151664846</v>
      </c>
      <c r="K25" s="9"/>
      <c r="AI25" s="26"/>
    </row>
    <row r="26" customFormat="false" ht="15" hidden="false" customHeight="false" outlineLevel="0" collapsed="false">
      <c r="A26" s="14" t="s">
        <v>500</v>
      </c>
      <c r="B26" s="41" t="s">
        <v>501</v>
      </c>
      <c r="G26" s="6"/>
      <c r="H26" s="9"/>
      <c r="I26" s="9"/>
      <c r="J26" s="43" t="n">
        <f aca="false">SUM(J27:J29)</f>
        <v>1284.012976008</v>
      </c>
      <c r="K26" s="9"/>
      <c r="AI26" s="26"/>
    </row>
    <row r="27" customFormat="false" ht="15" hidden="false" customHeight="false" outlineLevel="0" collapsed="false">
      <c r="A27" s="1" t="s">
        <v>502</v>
      </c>
      <c r="B27" s="75" t="s">
        <v>503</v>
      </c>
      <c r="C27" s="75"/>
      <c r="D27" s="75"/>
      <c r="G27" s="76" t="s">
        <v>204</v>
      </c>
      <c r="H27" s="9" t="n">
        <f aca="false">'Platea de Cimentacion'!H24</f>
        <v>0.6</v>
      </c>
      <c r="I27" s="9" t="n">
        <f aca="false">'APU ESTRUCTURAS'!J276</f>
        <v>426.397544</v>
      </c>
      <c r="J27" s="9" t="n">
        <f aca="false">H27*I27</f>
        <v>255.8385264</v>
      </c>
      <c r="K27" s="9"/>
      <c r="AI27" s="26"/>
    </row>
    <row r="28" customFormat="false" ht="15" hidden="false" customHeight="false" outlineLevel="0" collapsed="false">
      <c r="A28" s="1" t="s">
        <v>504</v>
      </c>
      <c r="B28" s="75" t="s">
        <v>505</v>
      </c>
      <c r="C28" s="75"/>
      <c r="D28" s="75"/>
      <c r="G28" s="76" t="s">
        <v>134</v>
      </c>
      <c r="H28" s="9" t="n">
        <f aca="false">'Platea de Cimentacion'!H25</f>
        <v>0.5</v>
      </c>
      <c r="I28" s="9" t="n">
        <f aca="false">'APU ESTRUCTURAS'!J298</f>
        <v>453.9276</v>
      </c>
      <c r="J28" s="9" t="n">
        <f aca="false">H28*I28</f>
        <v>226.9638</v>
      </c>
      <c r="K28" s="9"/>
      <c r="AI28" s="26"/>
    </row>
    <row r="29" customFormat="false" ht="16.4" hidden="false" customHeight="false" outlineLevel="0" collapsed="false">
      <c r="A29" s="1" t="s">
        <v>506</v>
      </c>
      <c r="B29" s="75" t="s">
        <v>507</v>
      </c>
      <c r="C29" s="75"/>
      <c r="D29" s="75"/>
      <c r="G29" s="74" t="s">
        <v>297</v>
      </c>
      <c r="H29" s="9" t="n">
        <f aca="false">'Platea de Cimentacion'!H26</f>
        <v>144</v>
      </c>
      <c r="I29" s="9" t="n">
        <f aca="false">'APU ESTRUCTURAS'!J314</f>
        <v>5.5639628445</v>
      </c>
      <c r="J29" s="9" t="n">
        <f aca="false">H29*I29</f>
        <v>801.210649608</v>
      </c>
      <c r="K29" s="9"/>
      <c r="AI29" s="26"/>
    </row>
    <row r="30" customFormat="false" ht="15" hidden="false" customHeight="false" outlineLevel="0" collapsed="false">
      <c r="A30" s="14" t="s">
        <v>508</v>
      </c>
      <c r="B30" s="41" t="s">
        <v>509</v>
      </c>
      <c r="G30" s="6"/>
      <c r="H30" s="9"/>
      <c r="I30" s="9"/>
      <c r="J30" s="43" t="n">
        <f aca="false">SUM(J31:J33)</f>
        <v>142386.898439532</v>
      </c>
      <c r="K30" s="9"/>
      <c r="P30" s="57"/>
      <c r="Q30" s="55"/>
      <c r="U30" s="26"/>
      <c r="AI30" s="71"/>
    </row>
    <row r="31" customFormat="false" ht="16.4" hidden="false" customHeight="false" outlineLevel="0" collapsed="false">
      <c r="A31" s="1" t="s">
        <v>510</v>
      </c>
      <c r="B31" s="1" t="s">
        <v>511</v>
      </c>
      <c r="G31" s="74" t="s">
        <v>204</v>
      </c>
      <c r="H31" s="9" t="n">
        <f aca="false">'Cimentación 1 piso'!H27+'Cimentación 2 pisos '!H27+'Cimentación 3 pisos'!H27+'Cimentación 4 pisos'!H27+'Platea de Cimentacion'!H28</f>
        <v>136.077988242159</v>
      </c>
      <c r="I31" s="9" t="n">
        <f aca="false">'APU ESTRUCTURAS'!J330</f>
        <v>438.22652</v>
      </c>
      <c r="J31" s="9" t="n">
        <f aca="false">H31*I31</f>
        <v>59632.9832359623</v>
      </c>
      <c r="K31" s="9"/>
      <c r="P31" s="57"/>
      <c r="Q31" s="55"/>
      <c r="AI31" s="71"/>
    </row>
    <row r="32" customFormat="false" ht="16.4" hidden="false" customHeight="false" outlineLevel="0" collapsed="false">
      <c r="A32" s="1" t="s">
        <v>512</v>
      </c>
      <c r="B32" s="1" t="s">
        <v>513</v>
      </c>
      <c r="G32" s="74" t="s">
        <v>134</v>
      </c>
      <c r="H32" s="9" t="n">
        <f aca="false">'Cimentación 1 piso'!H28+'Cimentación 2 pisos '!H28+'Cimentación 3 pisos'!H28+'Cimentación 4 pisos'!H28+'Platea de Cimentacion'!H29</f>
        <v>742.302729591539</v>
      </c>
      <c r="I32" s="9" t="n">
        <f aca="false">'APU ESTRUCTURAS'!J352</f>
        <v>64.02696</v>
      </c>
      <c r="J32" s="9" t="n">
        <f aca="false">H32*I32</f>
        <v>47527.3871754483</v>
      </c>
      <c r="K32" s="9"/>
      <c r="P32" s="57"/>
      <c r="Q32" s="55"/>
      <c r="AI32" s="71"/>
    </row>
    <row r="33" customFormat="false" ht="16.4" hidden="false" customHeight="false" outlineLevel="0" collapsed="false">
      <c r="A33" s="1" t="s">
        <v>514</v>
      </c>
      <c r="B33" s="1" t="s">
        <v>515</v>
      </c>
      <c r="G33" s="74" t="s">
        <v>297</v>
      </c>
      <c r="H33" s="9" t="n">
        <f aca="false">'Cimentación 1 piso'!H29+'Cimentación 2 pisos '!H29+'Cimentación 3 pisos'!H29+'Cimentación 4 pisos'!H29+'Platea de Cimentacion'!H30</f>
        <v>6331.19397318454</v>
      </c>
      <c r="I33" s="9" t="n">
        <f aca="false">'APU ESTRUCTURAS'!J368</f>
        <v>5.5639628445</v>
      </c>
      <c r="J33" s="9" t="n">
        <f aca="false">H33*I33</f>
        <v>35226.5280281211</v>
      </c>
      <c r="K33" s="9"/>
      <c r="P33" s="57"/>
      <c r="Q33" s="55"/>
      <c r="AI33" s="71"/>
    </row>
    <row r="34" customFormat="false" ht="15" hidden="false" customHeight="false" outlineLevel="0" collapsed="false">
      <c r="A34" s="14" t="s">
        <v>516</v>
      </c>
      <c r="B34" s="41" t="s">
        <v>517</v>
      </c>
      <c r="G34" s="6"/>
      <c r="H34" s="9"/>
      <c r="I34" s="9"/>
      <c r="J34" s="43" t="n">
        <f aca="false">SUM(J35:J37)</f>
        <v>114043.533981688</v>
      </c>
      <c r="K34" s="9"/>
      <c r="P34" s="57"/>
      <c r="Q34" s="55"/>
      <c r="U34" s="26"/>
      <c r="AI34" s="26"/>
    </row>
    <row r="35" customFormat="false" ht="15" hidden="false" customHeight="false" outlineLevel="0" collapsed="false">
      <c r="A35" s="1" t="s">
        <v>518</v>
      </c>
      <c r="B35" s="1" t="s">
        <v>519</v>
      </c>
      <c r="G35" s="6" t="s">
        <v>204</v>
      </c>
      <c r="H35" s="9" t="n">
        <f aca="false">'Cimentación 1 piso'!H31+'Cimentación 2 pisos '!H31+'Cimentación 3 pisos'!H31+'Cimentación 4 pisos'!H31+Escalera!D11</f>
        <v>92.3747670948266</v>
      </c>
      <c r="I35" s="9" t="n">
        <f aca="false">'APU ESTRUCTURAS'!J386</f>
        <v>424.9218</v>
      </c>
      <c r="J35" s="9" t="n">
        <f aca="false">H35*I35</f>
        <v>39252.0523085145</v>
      </c>
      <c r="K35" s="9"/>
      <c r="L35" s="55"/>
      <c r="P35" s="57"/>
      <c r="Q35" s="55"/>
      <c r="AI35" s="71"/>
    </row>
    <row r="36" customFormat="false" ht="15" hidden="false" customHeight="false" outlineLevel="0" collapsed="false">
      <c r="A36" s="1" t="s">
        <v>520</v>
      </c>
      <c r="B36" s="1" t="s">
        <v>521</v>
      </c>
      <c r="G36" s="6" t="s">
        <v>134</v>
      </c>
      <c r="H36" s="9" t="n">
        <f aca="false">'Cimentación 1 piso'!H32+'Cimentación 2 pisos '!H32+'Cimentación 3 pisos'!H32+'Cimentación 4 pisos'!H32+Escalera!D12</f>
        <v>466.695309003498</v>
      </c>
      <c r="I36" s="9" t="n">
        <f aca="false">'APU ESTRUCTURAS'!J407</f>
        <v>42.64448</v>
      </c>
      <c r="J36" s="9" t="n">
        <f aca="false">H36*I36</f>
        <v>19901.9787708935</v>
      </c>
      <c r="K36" s="9"/>
      <c r="L36" s="55"/>
      <c r="P36" s="57"/>
      <c r="Q36" s="55"/>
      <c r="AI36" s="71"/>
    </row>
    <row r="37" customFormat="false" ht="15" hidden="false" customHeight="false" outlineLevel="0" collapsed="false">
      <c r="A37" s="1" t="s">
        <v>522</v>
      </c>
      <c r="B37" s="1" t="s">
        <v>523</v>
      </c>
      <c r="G37" s="6" t="s">
        <v>297</v>
      </c>
      <c r="H37" s="9" t="n">
        <f aca="false">'Cimentación 1 piso'!H33+'Cimentación 2 pisos '!H33+'Cimentación 3 pisos'!H33+'Cimentación 4 pisos'!H33+Escalera!D13</f>
        <v>9865.18142487936</v>
      </c>
      <c r="I37" s="9" t="n">
        <f aca="false">'APU ESTRUCTURAS'!J423</f>
        <v>5.5639628445</v>
      </c>
      <c r="J37" s="9" t="n">
        <f aca="false">H37*I37</f>
        <v>54889.5029022803</v>
      </c>
      <c r="K37" s="9"/>
      <c r="L37" s="55"/>
      <c r="P37" s="57"/>
      <c r="Q37" s="55"/>
      <c r="AI37" s="71"/>
    </row>
    <row r="38" customFormat="false" ht="15" hidden="false" customHeight="false" outlineLevel="0" collapsed="false">
      <c r="A38" s="14" t="s">
        <v>524</v>
      </c>
      <c r="B38" s="41" t="s">
        <v>525</v>
      </c>
      <c r="G38" s="6"/>
      <c r="H38" s="9"/>
      <c r="I38" s="9"/>
      <c r="J38" s="43" t="n">
        <f aca="false">SUM(J39:J41)</f>
        <v>936577.946800048</v>
      </c>
      <c r="K38" s="9"/>
      <c r="P38" s="57"/>
      <c r="Q38" s="55"/>
      <c r="AI38" s="26"/>
    </row>
    <row r="39" customFormat="false" ht="16.4" hidden="false" customHeight="false" outlineLevel="0" collapsed="false">
      <c r="A39" s="1" t="s">
        <v>526</v>
      </c>
      <c r="B39" s="1" t="s">
        <v>527</v>
      </c>
      <c r="G39" s="77" t="s">
        <v>204</v>
      </c>
      <c r="H39" s="9" t="n">
        <f aca="false">'Estructura 1'!G6</f>
        <v>553.973062271342</v>
      </c>
      <c r="I39" s="9" t="n">
        <f aca="false">'APU ESTRUCTURAS'!J439</f>
        <v>402.684786666667</v>
      </c>
      <c r="J39" s="9" t="n">
        <f aca="false">H39*I39</f>
        <v>223076.524399815</v>
      </c>
      <c r="K39" s="9"/>
      <c r="P39" s="57"/>
      <c r="Q39" s="55"/>
    </row>
    <row r="40" customFormat="false" ht="16.4" hidden="false" customHeight="false" outlineLevel="0" collapsed="false">
      <c r="A40" s="1" t="s">
        <v>528</v>
      </c>
      <c r="B40" s="1" t="s">
        <v>529</v>
      </c>
      <c r="G40" s="77" t="s">
        <v>134</v>
      </c>
      <c r="H40" s="9" t="n">
        <f aca="false">'Estructura 1'!G7</f>
        <v>4031.19623780488</v>
      </c>
      <c r="I40" s="9" t="n">
        <f aca="false">'APU ESTRUCTURAS'!J460</f>
        <v>47.0115742857143</v>
      </c>
      <c r="J40" s="9" t="n">
        <f aca="false">H40*I40</f>
        <v>189512.881393856</v>
      </c>
      <c r="K40" s="9"/>
      <c r="P40" s="57"/>
      <c r="Q40" s="55"/>
    </row>
    <row r="41" customFormat="false" ht="16.4" hidden="false" customHeight="false" outlineLevel="0" collapsed="false">
      <c r="A41" s="1" t="s">
        <v>530</v>
      </c>
      <c r="B41" s="1" t="s">
        <v>531</v>
      </c>
      <c r="G41" s="77" t="s">
        <v>297</v>
      </c>
      <c r="H41" s="9" t="n">
        <f aca="false">'Estructura 1'!G8</f>
        <v>94175.4205861281</v>
      </c>
      <c r="I41" s="9" t="n">
        <f aca="false">'APU ESTRUCTURAS'!J477</f>
        <v>5.5639628445</v>
      </c>
      <c r="J41" s="9" t="n">
        <f aca="false">H41*I41</f>
        <v>523988.541006377</v>
      </c>
      <c r="K41" s="9"/>
      <c r="P41" s="57"/>
      <c r="Q41" s="55"/>
    </row>
    <row r="42" customFormat="false" ht="15" hidden="false" customHeight="false" outlineLevel="0" collapsed="false">
      <c r="A42" s="14" t="s">
        <v>532</v>
      </c>
      <c r="B42" s="41" t="s">
        <v>533</v>
      </c>
      <c r="G42" s="6"/>
      <c r="H42" s="9"/>
      <c r="I42" s="9"/>
      <c r="J42" s="43" t="n">
        <f aca="false">SUM(J43:J45)</f>
        <v>133155.333353234</v>
      </c>
      <c r="K42" s="9"/>
      <c r="P42" s="57"/>
      <c r="Q42" s="55"/>
    </row>
    <row r="43" customFormat="false" ht="16.4" hidden="false" customHeight="false" outlineLevel="0" collapsed="false">
      <c r="A43" s="1" t="s">
        <v>534</v>
      </c>
      <c r="B43" s="1" t="s">
        <v>535</v>
      </c>
      <c r="G43" s="77" t="s">
        <v>204</v>
      </c>
      <c r="H43" s="9" t="n">
        <f aca="false">'Estructura 2'!G6</f>
        <v>83.0959593407014</v>
      </c>
      <c r="I43" s="78" t="n">
        <f aca="false">'APU ESTRUCTURAS'!J493</f>
        <v>359.083626666667</v>
      </c>
      <c r="J43" s="9" t="n">
        <f aca="false">H43*I43</f>
        <v>29838.3984414049</v>
      </c>
      <c r="K43" s="9"/>
      <c r="P43" s="57"/>
      <c r="Q43" s="55"/>
    </row>
    <row r="44" customFormat="false" ht="16.4" hidden="false" customHeight="false" outlineLevel="0" collapsed="false">
      <c r="A44" s="1" t="s">
        <v>536</v>
      </c>
      <c r="B44" s="1" t="s">
        <v>537</v>
      </c>
      <c r="G44" s="77" t="s">
        <v>134</v>
      </c>
      <c r="H44" s="9" t="n">
        <f aca="false">'Estructura 2'!G7</f>
        <v>1410.9186832317</v>
      </c>
      <c r="I44" s="78" t="n">
        <f aca="false">'APU ESTRUCTURAS'!J514</f>
        <v>47.0115742857143</v>
      </c>
      <c r="J44" s="9" t="n">
        <f aca="false">H44*I44</f>
        <v>66329.5084878493</v>
      </c>
      <c r="K44" s="9"/>
      <c r="P44" s="57"/>
      <c r="Q44" s="55"/>
    </row>
    <row r="45" customFormat="false" ht="16.4" hidden="false" customHeight="false" outlineLevel="0" collapsed="false">
      <c r="A45" s="1" t="s">
        <v>538</v>
      </c>
      <c r="B45" s="1" t="s">
        <v>539</v>
      </c>
      <c r="G45" s="77" t="s">
        <v>297</v>
      </c>
      <c r="H45" s="9" t="n">
        <f aca="false">'Estructura 2'!G8</f>
        <v>6647.67674725611</v>
      </c>
      <c r="I45" s="78" t="n">
        <f aca="false">'APU ESTRUCTURAS'!J531</f>
        <v>5.5639628445</v>
      </c>
      <c r="J45" s="9" t="n">
        <f aca="false">H45*I45</f>
        <v>36987.4264239796</v>
      </c>
      <c r="K45" s="9"/>
      <c r="P45" s="57"/>
      <c r="Q45" s="55"/>
    </row>
    <row r="46" customFormat="false" ht="15" hidden="false" customHeight="false" outlineLevel="0" collapsed="false">
      <c r="A46" s="14" t="s">
        <v>540</v>
      </c>
      <c r="B46" s="41" t="s">
        <v>541</v>
      </c>
      <c r="G46" s="6"/>
      <c r="H46" s="9"/>
      <c r="I46" s="9"/>
      <c r="J46" s="43" t="n">
        <f aca="false">SUM(J47:J49)</f>
        <v>827342.49517765</v>
      </c>
      <c r="K46" s="9"/>
      <c r="Q46" s="55"/>
    </row>
    <row r="47" customFormat="false" ht="16.4" hidden="false" customHeight="false" outlineLevel="0" collapsed="false">
      <c r="A47" s="1" t="s">
        <v>542</v>
      </c>
      <c r="B47" s="1" t="s">
        <v>543</v>
      </c>
      <c r="G47" s="77" t="s">
        <v>204</v>
      </c>
      <c r="H47" s="9" t="n">
        <f aca="false">'Estructura 1'!G10</f>
        <v>582.899162957317</v>
      </c>
      <c r="I47" s="9" t="n">
        <f aca="false">'APU ESTRUCTURAS'!J547</f>
        <v>392.537930909091</v>
      </c>
      <c r="J47" s="9" t="n">
        <f aca="false">H47*I47</f>
        <v>228810.031355906</v>
      </c>
      <c r="K47" s="9"/>
    </row>
    <row r="48" customFormat="false" ht="16.4" hidden="false" customHeight="false" outlineLevel="0" collapsed="false">
      <c r="A48" s="1" t="s">
        <v>544</v>
      </c>
      <c r="B48" s="1" t="s">
        <v>545</v>
      </c>
      <c r="G48" s="77" t="s">
        <v>134</v>
      </c>
      <c r="H48" s="9" t="n">
        <f aca="false">'Estructura 1'!G11</f>
        <v>2844.63282137957</v>
      </c>
      <c r="I48" s="9" t="n">
        <f aca="false">'APU ESTRUCTURAS'!J569</f>
        <v>50.7905142857143</v>
      </c>
      <c r="J48" s="9" t="n">
        <f aca="false">H48*I48</f>
        <v>144480.363951891</v>
      </c>
      <c r="K48" s="9"/>
      <c r="O48" s="14"/>
      <c r="P48" s="14"/>
    </row>
    <row r="49" customFormat="false" ht="16.4" hidden="false" customHeight="false" outlineLevel="0" collapsed="false">
      <c r="A49" s="1" t="s">
        <v>546</v>
      </c>
      <c r="B49" s="1" t="s">
        <v>547</v>
      </c>
      <c r="G49" s="77" t="s">
        <v>297</v>
      </c>
      <c r="H49" s="9" t="n">
        <f aca="false">'Estructura 1'!G12</f>
        <v>81605.8828140244</v>
      </c>
      <c r="I49" s="9" t="n">
        <f aca="false">'APU ESTRUCTURAS'!J585</f>
        <v>5.5639628445</v>
      </c>
      <c r="J49" s="9" t="n">
        <f aca="false">H49*I49</f>
        <v>454052.099869853</v>
      </c>
      <c r="K49" s="9"/>
      <c r="P49" s="14"/>
    </row>
    <row r="50" customFormat="false" ht="15" hidden="false" customHeight="false" outlineLevel="0" collapsed="false">
      <c r="A50" s="14" t="s">
        <v>548</v>
      </c>
      <c r="B50" s="41" t="s">
        <v>549</v>
      </c>
      <c r="G50" s="6"/>
      <c r="H50" s="9"/>
      <c r="I50" s="9"/>
      <c r="J50" s="43" t="n">
        <f aca="false">SUM(J51:J53)</f>
        <v>44834.5979582681</v>
      </c>
      <c r="K50" s="9"/>
    </row>
    <row r="51" customFormat="false" ht="16.4" hidden="false" customHeight="false" outlineLevel="0" collapsed="false">
      <c r="A51" s="1" t="s">
        <v>550</v>
      </c>
      <c r="B51" s="1" t="s">
        <v>551</v>
      </c>
      <c r="G51" s="77" t="s">
        <v>204</v>
      </c>
      <c r="H51" s="9" t="n">
        <f aca="false">'Estructura 2'!G10</f>
        <v>29.1449581478659</v>
      </c>
      <c r="I51" s="78" t="n">
        <f aca="false">'APU ESTRUCTURAS'!J601</f>
        <v>349.618832</v>
      </c>
      <c r="J51" s="9" t="n">
        <f aca="false">H51*I51</f>
        <v>10189.6262263458</v>
      </c>
      <c r="K51" s="9"/>
    </row>
    <row r="52" customFormat="false" ht="16.4" hidden="false" customHeight="false" outlineLevel="0" collapsed="false">
      <c r="A52" s="1" t="s">
        <v>552</v>
      </c>
      <c r="B52" s="1" t="s">
        <v>553</v>
      </c>
      <c r="G52" s="77" t="s">
        <v>134</v>
      </c>
      <c r="H52" s="9" t="n">
        <f aca="false">'Estructura 2'!G11</f>
        <v>426.694923206936</v>
      </c>
      <c r="I52" s="78" t="n">
        <f aca="false">'APU ESTRUCTURAS'!J623</f>
        <v>50.7905142857143</v>
      </c>
      <c r="J52" s="9" t="n">
        <f aca="false">H52*I52</f>
        <v>21672.0545927836</v>
      </c>
      <c r="K52" s="9"/>
    </row>
    <row r="53" customFormat="false" ht="16.4" hidden="false" customHeight="false" outlineLevel="0" collapsed="false">
      <c r="A53" s="1" t="s">
        <v>554</v>
      </c>
      <c r="B53" s="1" t="s">
        <v>555</v>
      </c>
      <c r="G53" s="77" t="s">
        <v>297</v>
      </c>
      <c r="H53" s="9" t="n">
        <f aca="false">'Estructura 2'!G12</f>
        <v>2331.59665182927</v>
      </c>
      <c r="I53" s="78" t="n">
        <f aca="false">'APU ESTRUCTURAS'!J639</f>
        <v>5.5639628445</v>
      </c>
      <c r="J53" s="9" t="n">
        <f aca="false">H53*I53</f>
        <v>12972.9171391387</v>
      </c>
      <c r="K53" s="9"/>
      <c r="P53" s="14"/>
    </row>
    <row r="54" customFormat="false" ht="15" hidden="false" customHeight="false" outlineLevel="0" collapsed="false">
      <c r="A54" s="14" t="s">
        <v>556</v>
      </c>
      <c r="B54" s="41" t="s">
        <v>557</v>
      </c>
      <c r="G54" s="6"/>
      <c r="H54" s="9"/>
      <c r="I54" s="9"/>
      <c r="J54" s="43" t="n">
        <f aca="false">SUM(J55:J58)</f>
        <v>544104.665425599</v>
      </c>
      <c r="K54" s="9"/>
    </row>
    <row r="55" customFormat="false" ht="15" hidden="false" customHeight="false" outlineLevel="0" collapsed="false">
      <c r="A55" s="1" t="s">
        <v>558</v>
      </c>
      <c r="B55" s="71" t="s">
        <v>559</v>
      </c>
      <c r="G55" s="6" t="s">
        <v>204</v>
      </c>
      <c r="H55" s="9" t="n">
        <f aca="false">'Estructura 1'!G14</f>
        <v>404.33256875</v>
      </c>
      <c r="I55" s="9" t="n">
        <f aca="false">'APU ESTRUCTURAS'!J655</f>
        <v>396.881736</v>
      </c>
      <c r="J55" s="9" t="n">
        <f aca="false">H55*I55</f>
        <v>160472.211806839</v>
      </c>
      <c r="K55" s="9"/>
    </row>
    <row r="56" customFormat="false" ht="15" hidden="false" customHeight="false" outlineLevel="0" collapsed="false">
      <c r="A56" s="1" t="s">
        <v>560</v>
      </c>
      <c r="B56" s="71" t="s">
        <v>561</v>
      </c>
      <c r="G56" s="6" t="s">
        <v>134</v>
      </c>
      <c r="H56" s="9" t="n">
        <f aca="false">'Estructura 1'!G15</f>
        <v>4432.91833803354</v>
      </c>
      <c r="I56" s="9" t="n">
        <f aca="false">'APU ESTRUCTURAS'!J680</f>
        <v>43.4766</v>
      </c>
      <c r="J56" s="9" t="n">
        <f aca="false">H56*I56</f>
        <v>192728.217415349</v>
      </c>
      <c r="K56" s="9"/>
      <c r="Q56" s="55"/>
    </row>
    <row r="57" customFormat="false" ht="15" hidden="false" customHeight="false" outlineLevel="0" collapsed="false">
      <c r="A57" s="1" t="s">
        <v>562</v>
      </c>
      <c r="B57" s="71" t="s">
        <v>563</v>
      </c>
      <c r="G57" s="6" t="s">
        <v>297</v>
      </c>
      <c r="H57" s="9" t="n">
        <f aca="false">'Estructura 1'!G16</f>
        <v>18194.96559375</v>
      </c>
      <c r="I57" s="9" t="n">
        <f aca="false">'APU ESTRUCTURAS'!J697</f>
        <v>5.4833634845</v>
      </c>
      <c r="J57" s="9" t="n">
        <f aca="false">H57*I57</f>
        <v>99769.6099385027</v>
      </c>
      <c r="K57" s="9"/>
      <c r="P57" s="14"/>
      <c r="Q57" s="55"/>
    </row>
    <row r="58" customFormat="false" ht="15" hidden="false" customHeight="false" outlineLevel="0" collapsed="false">
      <c r="A58" s="1" t="s">
        <v>564</v>
      </c>
      <c r="B58" s="71" t="s">
        <v>565</v>
      </c>
      <c r="G58" s="6" t="s">
        <v>566</v>
      </c>
      <c r="H58" s="9" t="n">
        <f aca="false">'Estructura 1'!G17</f>
        <v>33559.60320625</v>
      </c>
      <c r="I58" s="9" t="n">
        <f aca="false">'APU ESTRUCTURAS'!J713</f>
        <v>2.715605</v>
      </c>
      <c r="J58" s="9" t="n">
        <f aca="false">H58*I58</f>
        <v>91134.6262649085</v>
      </c>
      <c r="K58" s="9"/>
      <c r="Q58" s="55"/>
    </row>
    <row r="59" customFormat="false" ht="15" hidden="false" customHeight="false" outlineLevel="0" collapsed="false">
      <c r="A59" s="14" t="s">
        <v>567</v>
      </c>
      <c r="B59" s="41" t="s">
        <v>568</v>
      </c>
      <c r="G59" s="6"/>
      <c r="H59" s="9"/>
      <c r="I59" s="9"/>
      <c r="J59" s="43" t="n">
        <f aca="false">SUM(J60:J62)</f>
        <v>91.5453185787826</v>
      </c>
      <c r="K59" s="9"/>
      <c r="Q59" s="55"/>
    </row>
    <row r="60" customFormat="false" ht="15" hidden="false" customHeight="false" outlineLevel="0" collapsed="false">
      <c r="A60" s="1" t="s">
        <v>569</v>
      </c>
      <c r="B60" s="71" t="s">
        <v>570</v>
      </c>
      <c r="C60" s="71"/>
      <c r="G60" s="6" t="s">
        <v>204</v>
      </c>
      <c r="H60" s="9" t="n">
        <f aca="false">Escalera!D15</f>
        <v>0.058470194647202</v>
      </c>
      <c r="I60" s="9" t="n">
        <f aca="false">'APU ESTRUCTURAS'!J729</f>
        <v>471.73034</v>
      </c>
      <c r="J60" s="9" t="n">
        <f aca="false">H60*I60</f>
        <v>27.5821648007908</v>
      </c>
      <c r="K60" s="9"/>
      <c r="Q60" s="55"/>
    </row>
    <row r="61" customFormat="false" ht="15" hidden="false" customHeight="false" outlineLevel="0" collapsed="false">
      <c r="A61" s="1" t="s">
        <v>571</v>
      </c>
      <c r="B61" s="71" t="s">
        <v>572</v>
      </c>
      <c r="C61" s="71"/>
      <c r="G61" s="6" t="s">
        <v>134</v>
      </c>
      <c r="H61" s="9" t="n">
        <f aca="false">Escalera!D16</f>
        <v>0.233804744525547</v>
      </c>
      <c r="I61" s="9" t="n">
        <f aca="false">'APU ESTRUCTURAS'!J754</f>
        <v>67.9480666666667</v>
      </c>
      <c r="J61" s="9" t="n">
        <f aca="false">H61*I61</f>
        <v>15.8865803680049</v>
      </c>
      <c r="K61" s="9"/>
      <c r="Q61" s="55"/>
    </row>
    <row r="62" customFormat="false" ht="15" hidden="false" customHeight="false" outlineLevel="0" collapsed="false">
      <c r="A62" s="1" t="s">
        <v>573</v>
      </c>
      <c r="B62" s="71" t="s">
        <v>574</v>
      </c>
      <c r="C62" s="71"/>
      <c r="G62" s="6" t="s">
        <v>297</v>
      </c>
      <c r="H62" s="9" t="n">
        <f aca="false">Escalera!D17</f>
        <v>8.76771593673966</v>
      </c>
      <c r="I62" s="9" t="n">
        <f aca="false">'APU ESTRUCTURAS'!J771</f>
        <v>5.4833634845</v>
      </c>
      <c r="J62" s="9" t="n">
        <f aca="false">H62*I62</f>
        <v>48.076573409987</v>
      </c>
      <c r="K62" s="9"/>
      <c r="P62" s="14"/>
      <c r="Q62" s="55"/>
    </row>
    <row r="63" customFormat="false" ht="15" hidden="false" customHeight="false" outlineLevel="0" collapsed="false">
      <c r="A63" s="14" t="s">
        <v>575</v>
      </c>
      <c r="B63" s="41" t="s">
        <v>576</v>
      </c>
      <c r="G63" s="6"/>
      <c r="H63" s="9"/>
      <c r="I63" s="9"/>
      <c r="J63" s="43" t="n">
        <f aca="false">SUM(J64:J66)</f>
        <v>485256.751759105</v>
      </c>
      <c r="K63" s="9"/>
      <c r="Q63" s="55"/>
    </row>
    <row r="64" customFormat="false" ht="15" hidden="false" customHeight="false" outlineLevel="0" collapsed="false">
      <c r="A64" s="1" t="s">
        <v>577</v>
      </c>
      <c r="B64" s="71" t="s">
        <v>578</v>
      </c>
      <c r="C64" s="71"/>
      <c r="G64" s="6" t="s">
        <v>204</v>
      </c>
      <c r="H64" s="9" t="n">
        <f aca="false">'Estructura 1'!G19</f>
        <v>276.7624</v>
      </c>
      <c r="I64" s="9" t="n">
        <f aca="false">'APU ESTRUCTURAS'!J787</f>
        <v>402.684786666667</v>
      </c>
      <c r="J64" s="9" t="n">
        <f aca="false">H64*I64</f>
        <v>111448.008001355</v>
      </c>
      <c r="K64" s="9"/>
      <c r="Q64" s="55"/>
    </row>
    <row r="65" customFormat="false" ht="15" hidden="false" customHeight="false" outlineLevel="0" collapsed="false">
      <c r="A65" s="1" t="s">
        <v>579</v>
      </c>
      <c r="B65" s="71" t="s">
        <v>580</v>
      </c>
      <c r="C65" s="71"/>
      <c r="G65" s="6" t="s">
        <v>134</v>
      </c>
      <c r="H65" s="9" t="n">
        <f aca="false">'Estructura 1'!G20</f>
        <v>3324.60833</v>
      </c>
      <c r="I65" s="9" t="n">
        <f aca="false">'APU ESTRUCTURAS'!J808</f>
        <v>47.5915742857143</v>
      </c>
      <c r="J65" s="9" t="n">
        <f aca="false">H65*I65</f>
        <v>158223.3443081</v>
      </c>
      <c r="K65" s="9"/>
      <c r="Q65" s="55"/>
    </row>
    <row r="66" customFormat="false" ht="15" hidden="false" customHeight="false" outlineLevel="0" collapsed="false">
      <c r="A66" s="1" t="s">
        <v>581</v>
      </c>
      <c r="B66" s="71" t="s">
        <v>582</v>
      </c>
      <c r="C66" s="71"/>
      <c r="G66" s="6" t="s">
        <v>297</v>
      </c>
      <c r="H66" s="9" t="n">
        <f aca="false">'Estructura 1'!G21</f>
        <v>38746.736</v>
      </c>
      <c r="I66" s="9" t="n">
        <f aca="false">'APU ESTRUCTURAS'!J825</f>
        <v>5.5639628445</v>
      </c>
      <c r="J66" s="9" t="n">
        <f aca="false">H66*I66</f>
        <v>215585.399449651</v>
      </c>
      <c r="K66" s="9"/>
      <c r="P66" s="14"/>
      <c r="Q66" s="55"/>
    </row>
    <row r="67" customFormat="false" ht="15" hidden="false" customHeight="false" outlineLevel="0" collapsed="false">
      <c r="A67" s="14" t="s">
        <v>583</v>
      </c>
      <c r="B67" s="41" t="s">
        <v>584</v>
      </c>
      <c r="G67" s="6"/>
      <c r="H67" s="9"/>
      <c r="I67" s="9"/>
      <c r="J67" s="43" t="n">
        <f aca="false">SUM(J68:J70)</f>
        <v>486.686677287218</v>
      </c>
      <c r="K67" s="9"/>
    </row>
    <row r="68" customFormat="false" ht="15" hidden="false" customHeight="false" outlineLevel="0" collapsed="false">
      <c r="A68" s="1" t="s">
        <v>585</v>
      </c>
      <c r="B68" s="1" t="s">
        <v>586</v>
      </c>
      <c r="G68" s="6" t="s">
        <v>204</v>
      </c>
      <c r="H68" s="9" t="n">
        <f aca="false">Escalera!D19</f>
        <v>0.251172445255474</v>
      </c>
      <c r="I68" s="9" t="n">
        <f aca="false">'APU ESTRUCTURAS'!J841</f>
        <v>554.637093333333</v>
      </c>
      <c r="J68" s="9" t="n">
        <f aca="false">H68*I68</f>
        <v>139.309554961922</v>
      </c>
      <c r="K68" s="9"/>
    </row>
    <row r="69" customFormat="false" ht="15" hidden="false" customHeight="false" outlineLevel="0" collapsed="false">
      <c r="A69" s="1" t="s">
        <v>587</v>
      </c>
      <c r="B69" s="1" t="s">
        <v>588</v>
      </c>
      <c r="G69" s="6" t="s">
        <v>134</v>
      </c>
      <c r="H69" s="9" t="n">
        <f aca="false">Escalera!D20</f>
        <v>1.87150243309002</v>
      </c>
      <c r="I69" s="9" t="n">
        <f aca="false">'APU ESTRUCTURAS'!J865</f>
        <v>111.805364179104</v>
      </c>
      <c r="J69" s="9" t="n">
        <f aca="false">H69*I69</f>
        <v>209.24401109371</v>
      </c>
      <c r="K69" s="9"/>
      <c r="Q69" s="55"/>
    </row>
    <row r="70" customFormat="false" ht="15" hidden="false" customHeight="false" outlineLevel="0" collapsed="false">
      <c r="A70" s="1" t="s">
        <v>589</v>
      </c>
      <c r="B70" s="1" t="s">
        <v>590</v>
      </c>
      <c r="G70" s="6" t="s">
        <v>297</v>
      </c>
      <c r="H70" s="9" t="n">
        <f aca="false">Escalera!D21</f>
        <v>25.1172445255474</v>
      </c>
      <c r="I70" s="9" t="n">
        <f aca="false">'APU ESTRUCTURAS'!J882</f>
        <v>5.4995328445</v>
      </c>
      <c r="J70" s="9" t="n">
        <f aca="false">H70*I70</f>
        <v>138.133111231586</v>
      </c>
      <c r="K70" s="9"/>
      <c r="P70" s="14"/>
      <c r="Q70" s="55"/>
    </row>
    <row r="71" customFormat="false" ht="15" hidden="false" customHeight="false" outlineLevel="0" collapsed="false">
      <c r="A71" s="14" t="n">
        <v>2.04</v>
      </c>
      <c r="B71" s="68" t="s">
        <v>591</v>
      </c>
      <c r="G71" s="6"/>
      <c r="H71" s="9"/>
      <c r="I71" s="9"/>
      <c r="J71" s="40" t="n">
        <f aca="false">J72+J81+J90+J97+J103+J105+J110</f>
        <v>640835.388877128</v>
      </c>
      <c r="K71" s="9"/>
      <c r="N71" s="9"/>
      <c r="Q71" s="55"/>
    </row>
    <row r="72" customFormat="false" ht="15" hidden="false" customHeight="false" outlineLevel="0" collapsed="false">
      <c r="A72" s="14" t="s">
        <v>592</v>
      </c>
      <c r="B72" s="41" t="s">
        <v>75</v>
      </c>
      <c r="G72" s="6"/>
      <c r="H72" s="9"/>
      <c r="I72" s="9"/>
      <c r="J72" s="43" t="n">
        <f aca="false">SUM(J73:J80)</f>
        <v>520550.085115298</v>
      </c>
      <c r="K72" s="9"/>
      <c r="Q72" s="55"/>
    </row>
    <row r="73" customFormat="false" ht="15" hidden="false" customHeight="false" outlineLevel="0" collapsed="false">
      <c r="A73" s="1" t="s">
        <v>593</v>
      </c>
      <c r="B73" s="1" t="s">
        <v>594</v>
      </c>
      <c r="G73" s="6" t="s">
        <v>134</v>
      </c>
      <c r="H73" s="9" t="n">
        <f aca="false">'Obras exteriores '!D13</f>
        <v>894.542</v>
      </c>
      <c r="I73" s="9" t="n">
        <f aca="false">'APU ESTRUCTURAS'!J899</f>
        <v>445.669224</v>
      </c>
      <c r="J73" s="9" t="n">
        <f aca="false">H73*I73</f>
        <v>398669.838975408</v>
      </c>
      <c r="K73" s="9"/>
      <c r="Q73" s="55"/>
    </row>
    <row r="74" customFormat="false" ht="15" hidden="false" customHeight="false" outlineLevel="0" collapsed="false">
      <c r="A74" s="1" t="s">
        <v>595</v>
      </c>
      <c r="B74" s="1" t="s">
        <v>596</v>
      </c>
      <c r="G74" s="6" t="s">
        <v>204</v>
      </c>
      <c r="H74" s="9" t="n">
        <f aca="false">'Obras exteriores '!D14</f>
        <v>58.55184</v>
      </c>
      <c r="I74" s="9" t="n">
        <f aca="false">'APU ESTRUCTURAS'!J918</f>
        <v>445.669224</v>
      </c>
      <c r="J74" s="9" t="n">
        <f aca="false">H74*I74</f>
        <v>26094.7530965722</v>
      </c>
      <c r="K74" s="9"/>
      <c r="P74" s="14"/>
      <c r="Q74" s="55"/>
    </row>
    <row r="75" customFormat="false" ht="15" hidden="false" customHeight="false" outlineLevel="0" collapsed="false">
      <c r="A75" s="1" t="s">
        <v>597</v>
      </c>
      <c r="B75" s="1" t="s">
        <v>598</v>
      </c>
      <c r="G75" s="6" t="s">
        <v>134</v>
      </c>
      <c r="H75" s="9" t="n">
        <f aca="false">'Obras exteriores '!D15</f>
        <v>311.46326</v>
      </c>
      <c r="I75" s="9" t="n">
        <f aca="false">'APU ESTRUCTURAS'!J937</f>
        <v>118.0135648</v>
      </c>
      <c r="J75" s="9" t="n">
        <f aca="false">H75*I75</f>
        <v>36756.8896168293</v>
      </c>
      <c r="K75" s="9"/>
      <c r="L75" s="9"/>
      <c r="P75" s="14"/>
      <c r="Q75" s="55"/>
    </row>
    <row r="76" customFormat="false" ht="15" hidden="false" customHeight="false" outlineLevel="0" collapsed="false">
      <c r="A76" s="1" t="s">
        <v>599</v>
      </c>
      <c r="B76" s="1" t="s">
        <v>600</v>
      </c>
      <c r="G76" s="6" t="s">
        <v>204</v>
      </c>
      <c r="H76" s="9" t="n">
        <f aca="false">'Obras exteriores '!D16</f>
        <v>3.25288</v>
      </c>
      <c r="I76" s="9" t="n">
        <f aca="false">'APU ESTRUCTURAS'!J956</f>
        <v>358</v>
      </c>
      <c r="J76" s="9" t="n">
        <f aca="false">H76*I76</f>
        <v>1164.53104</v>
      </c>
      <c r="K76" s="9"/>
      <c r="L76" s="9"/>
      <c r="Q76" s="55"/>
    </row>
    <row r="77" customFormat="false" ht="15" hidden="false" customHeight="false" outlineLevel="0" collapsed="false">
      <c r="A77" s="1" t="s">
        <v>601</v>
      </c>
      <c r="B77" s="1" t="s">
        <v>602</v>
      </c>
      <c r="G77" s="6" t="s">
        <v>134</v>
      </c>
      <c r="H77" s="9" t="n">
        <f aca="false">'Obras exteriores '!D17</f>
        <v>4066.1</v>
      </c>
      <c r="I77" s="9" t="n">
        <f aca="false">'APU ESTRUCTURAS'!J963</f>
        <v>2.9418736</v>
      </c>
      <c r="J77" s="9" t="n">
        <f aca="false">H77*I77</f>
        <v>11961.95224496</v>
      </c>
      <c r="K77" s="9"/>
      <c r="Q77" s="55"/>
    </row>
    <row r="78" customFormat="false" ht="15" hidden="false" customHeight="false" outlineLevel="0" collapsed="false">
      <c r="A78" s="1" t="s">
        <v>603</v>
      </c>
      <c r="B78" s="1" t="s">
        <v>604</v>
      </c>
      <c r="G78" s="6" t="s">
        <v>145</v>
      </c>
      <c r="H78" s="9" t="n">
        <f aca="false">'Obras exteriores '!D18</f>
        <v>653.42227</v>
      </c>
      <c r="I78" s="9" t="n">
        <f aca="false">'APU ESTRUCTURAS'!J976</f>
        <v>19.2386832</v>
      </c>
      <c r="J78" s="9" t="n">
        <f aca="false">H78*I78</f>
        <v>12570.9840483549</v>
      </c>
      <c r="K78" s="9"/>
      <c r="Q78" s="55"/>
    </row>
    <row r="79" customFormat="false" ht="15" hidden="false" customHeight="false" outlineLevel="0" collapsed="false">
      <c r="A79" s="1" t="s">
        <v>605</v>
      </c>
      <c r="B79" s="1" t="s">
        <v>606</v>
      </c>
      <c r="G79" s="6" t="s">
        <v>145</v>
      </c>
      <c r="H79" s="9" t="n">
        <f aca="false">'Obras exteriores '!D19</f>
        <v>768.08629</v>
      </c>
      <c r="I79" s="9" t="n">
        <f aca="false">'APU ESTRUCTURAS'!J991</f>
        <v>19.2386832</v>
      </c>
      <c r="J79" s="9" t="n">
        <f aca="false">H79*I79</f>
        <v>14776.9688035733</v>
      </c>
      <c r="K79" s="9"/>
    </row>
    <row r="80" customFormat="false" ht="15" hidden="false" customHeight="false" outlineLevel="0" collapsed="false">
      <c r="A80" s="1" t="s">
        <v>607</v>
      </c>
      <c r="B80" s="1" t="s">
        <v>608</v>
      </c>
      <c r="G80" s="6" t="s">
        <v>145</v>
      </c>
      <c r="H80" s="9" t="n">
        <f aca="false">'Obras exteriores '!D20</f>
        <v>30.08914</v>
      </c>
      <c r="I80" s="9" t="n">
        <f aca="false">'APU ESTRUCTURAS'!J1006</f>
        <v>616.64</v>
      </c>
      <c r="J80" s="9" t="n">
        <f aca="false">H80*I80</f>
        <v>18554.1672896</v>
      </c>
      <c r="K80" s="9"/>
    </row>
    <row r="81" customFormat="false" ht="15" hidden="false" customHeight="false" outlineLevel="0" collapsed="false">
      <c r="A81" s="14" t="s">
        <v>609</v>
      </c>
      <c r="B81" s="41" t="s">
        <v>108</v>
      </c>
      <c r="G81" s="6"/>
      <c r="H81" s="9"/>
      <c r="I81" s="9"/>
      <c r="J81" s="43" t="n">
        <f aca="false">SUM(J82:J89)</f>
        <v>12699.7782748672</v>
      </c>
      <c r="K81" s="9"/>
    </row>
    <row r="82" customFormat="false" ht="15" hidden="false" customHeight="false" outlineLevel="0" collapsed="false">
      <c r="A82" s="1" t="s">
        <v>610</v>
      </c>
      <c r="B82" s="1" t="s">
        <v>611</v>
      </c>
      <c r="G82" s="6" t="s">
        <v>134</v>
      </c>
      <c r="H82" s="9" t="n">
        <f aca="false">'Obras exteriores '!D29</f>
        <v>21.824</v>
      </c>
      <c r="I82" s="9" t="n">
        <f aca="false">'APU ESTRUCTURAS'!J1013</f>
        <v>445.669224</v>
      </c>
      <c r="J82" s="9" t="n">
        <f aca="false">H82*I82</f>
        <v>9726.285144576</v>
      </c>
      <c r="K82" s="9"/>
    </row>
    <row r="83" customFormat="false" ht="15" hidden="false" customHeight="false" outlineLevel="0" collapsed="false">
      <c r="A83" s="1" t="s">
        <v>612</v>
      </c>
      <c r="B83" s="1" t="s">
        <v>596</v>
      </c>
      <c r="G83" s="6" t="s">
        <v>204</v>
      </c>
      <c r="H83" s="9" t="n">
        <f aca="false">'Obras exteriores '!D30</f>
        <v>1.42848</v>
      </c>
      <c r="I83" s="9" t="n">
        <f aca="false">'APU ESTRUCTURAS'!J1032</f>
        <v>445.669224</v>
      </c>
      <c r="J83" s="9" t="n">
        <f aca="false">H83*I83</f>
        <v>636.62957309952</v>
      </c>
      <c r="K83" s="9"/>
    </row>
    <row r="84" customFormat="false" ht="15" hidden="false" customHeight="false" outlineLevel="0" collapsed="false">
      <c r="A84" s="1" t="s">
        <v>613</v>
      </c>
      <c r="B84" s="1" t="s">
        <v>598</v>
      </c>
      <c r="G84" s="6" t="s">
        <v>134</v>
      </c>
      <c r="H84" s="9" t="n">
        <f aca="false">'Obras exteriores '!D31</f>
        <v>7.59872</v>
      </c>
      <c r="I84" s="9" t="n">
        <f aca="false">'APU ESTRUCTURAS'!J1051</f>
        <v>118.0135648</v>
      </c>
      <c r="J84" s="9" t="n">
        <f aca="false">H84*I84</f>
        <v>896.752035117056</v>
      </c>
      <c r="K84" s="9"/>
      <c r="P84" s="14"/>
    </row>
    <row r="85" customFormat="false" ht="15" hidden="false" customHeight="false" outlineLevel="0" collapsed="false">
      <c r="A85" s="1" t="s">
        <v>614</v>
      </c>
      <c r="B85" s="1" t="s">
        <v>600</v>
      </c>
      <c r="G85" s="6" t="s">
        <v>204</v>
      </c>
      <c r="H85" s="9" t="n">
        <f aca="false">'Obras exteriores '!D32</f>
        <v>0.07936</v>
      </c>
      <c r="I85" s="9" t="n">
        <f aca="false">'APU ESTRUCTURAS'!J1070</f>
        <v>358</v>
      </c>
      <c r="J85" s="9" t="n">
        <f aca="false">H85*I85</f>
        <v>28.41088</v>
      </c>
      <c r="K85" s="9"/>
    </row>
    <row r="86" customFormat="false" ht="15" hidden="false" customHeight="false" outlineLevel="0" collapsed="false">
      <c r="A86" s="1" t="s">
        <v>615</v>
      </c>
      <c r="B86" s="1" t="s">
        <v>602</v>
      </c>
      <c r="G86" s="6" t="s">
        <v>134</v>
      </c>
      <c r="H86" s="9" t="n">
        <f aca="false">'Obras exteriores '!D33</f>
        <v>99.2</v>
      </c>
      <c r="I86" s="9" t="n">
        <f aca="false">'APU ESTRUCTURAS'!J1077</f>
        <v>2.9418736</v>
      </c>
      <c r="J86" s="9" t="n">
        <f aca="false">H86*I86</f>
        <v>291.83386112</v>
      </c>
      <c r="K86" s="9"/>
    </row>
    <row r="87" customFormat="false" ht="15" hidden="false" customHeight="false" outlineLevel="0" collapsed="false">
      <c r="A87" s="1" t="s">
        <v>616</v>
      </c>
      <c r="B87" s="1" t="s">
        <v>604</v>
      </c>
      <c r="G87" s="6" t="s">
        <v>145</v>
      </c>
      <c r="H87" s="9" t="n">
        <f aca="false">'Obras exteriores '!D34</f>
        <v>15.94144</v>
      </c>
      <c r="I87" s="9" t="n">
        <f aca="false">'APU ESTRUCTURAS'!J1090</f>
        <v>19.2386832</v>
      </c>
      <c r="J87" s="9" t="n">
        <f aca="false">H87*I87</f>
        <v>306.692313911808</v>
      </c>
      <c r="K87" s="9"/>
    </row>
    <row r="88" customFormat="false" ht="15" hidden="false" customHeight="false" outlineLevel="0" collapsed="false">
      <c r="A88" s="1" t="s">
        <v>617</v>
      </c>
      <c r="B88" s="1" t="s">
        <v>606</v>
      </c>
      <c r="G88" s="6" t="s">
        <v>145</v>
      </c>
      <c r="H88" s="9" t="n">
        <f aca="false">'Obras exteriores '!D35</f>
        <v>18.73888</v>
      </c>
      <c r="I88" s="9" t="n">
        <f aca="false">'APU ESTRUCTURAS'!J1105</f>
        <v>19.2386832</v>
      </c>
      <c r="J88" s="9" t="n">
        <f aca="false">H88*I88</f>
        <v>360.511375842816</v>
      </c>
      <c r="K88" s="9"/>
    </row>
    <row r="89" customFormat="false" ht="15" hidden="false" customHeight="false" outlineLevel="0" collapsed="false">
      <c r="A89" s="1" t="s">
        <v>618</v>
      </c>
      <c r="B89" s="1" t="s">
        <v>608</v>
      </c>
      <c r="G89" s="6" t="s">
        <v>145</v>
      </c>
      <c r="H89" s="9" t="n">
        <f aca="false">'Obras exteriores '!D36</f>
        <v>0.73408</v>
      </c>
      <c r="I89" s="9" t="n">
        <f aca="false">'APU ESTRUCTURAS'!J1120</f>
        <v>616.64</v>
      </c>
      <c r="J89" s="9" t="n">
        <f aca="false">H89*I89</f>
        <v>452.6630912</v>
      </c>
      <c r="K89" s="9"/>
    </row>
    <row r="90" customFormat="false" ht="15" hidden="false" customHeight="false" outlineLevel="0" collapsed="false">
      <c r="A90" s="14" t="s">
        <v>619</v>
      </c>
      <c r="B90" s="41" t="s">
        <v>80</v>
      </c>
      <c r="G90" s="6"/>
      <c r="H90" s="9"/>
      <c r="I90" s="9"/>
      <c r="J90" s="43" t="n">
        <f aca="false">SUM(J91:J96)</f>
        <v>44938.3019113439</v>
      </c>
      <c r="K90" s="9"/>
    </row>
    <row r="91" customFormat="false" ht="15" hidden="false" customHeight="false" outlineLevel="0" collapsed="false">
      <c r="A91" s="1" t="s">
        <v>620</v>
      </c>
      <c r="B91" s="1" t="s">
        <v>621</v>
      </c>
      <c r="C91" s="79"/>
      <c r="G91" s="6" t="s">
        <v>134</v>
      </c>
      <c r="H91" s="9" t="n">
        <f aca="false">'Obras exteriores '!D47</f>
        <v>57.8052</v>
      </c>
      <c r="I91" s="9" t="n">
        <f aca="false">'APU ESTRUCTURAS'!J1127</f>
        <v>447.9006688</v>
      </c>
      <c r="J91" s="9" t="n">
        <f aca="false">H91*I91</f>
        <v>25890.9877401178</v>
      </c>
      <c r="K91" s="9"/>
    </row>
    <row r="92" customFormat="false" ht="15" hidden="false" customHeight="false" outlineLevel="0" collapsed="false">
      <c r="A92" s="1" t="s">
        <v>622</v>
      </c>
      <c r="B92" s="1" t="s">
        <v>623</v>
      </c>
      <c r="C92" s="79"/>
      <c r="G92" s="6" t="s">
        <v>204</v>
      </c>
      <c r="H92" s="9" t="n">
        <f aca="false">'Obras exteriores '!D48</f>
        <v>6.74394</v>
      </c>
      <c r="I92" s="9" t="n">
        <f aca="false">'APU ESTRUCTURAS'!J1146</f>
        <v>447.9006688</v>
      </c>
      <c r="J92" s="9" t="n">
        <f aca="false">H92*I92</f>
        <v>3020.61523634707</v>
      </c>
      <c r="K92" s="9"/>
    </row>
    <row r="93" customFormat="false" ht="15" hidden="false" customHeight="false" outlineLevel="0" collapsed="false">
      <c r="A93" s="1" t="s">
        <v>624</v>
      </c>
      <c r="B93" s="1" t="s">
        <v>598</v>
      </c>
      <c r="C93" s="79"/>
      <c r="G93" s="6" t="s">
        <v>134</v>
      </c>
      <c r="H93" s="9" t="n">
        <f aca="false">'Obras exteriores '!D49</f>
        <v>96.342</v>
      </c>
      <c r="I93" s="9" t="n">
        <f aca="false">'APU ESTRUCTURAS'!J1165</f>
        <v>118.0135648</v>
      </c>
      <c r="J93" s="9" t="n">
        <f aca="false">H93*I93</f>
        <v>11369.6628599616</v>
      </c>
      <c r="K93" s="9"/>
      <c r="P93" s="14"/>
    </row>
    <row r="94" customFormat="false" ht="15" hidden="false" customHeight="false" outlineLevel="0" collapsed="false">
      <c r="A94" s="1" t="s">
        <v>625</v>
      </c>
      <c r="B94" s="1" t="s">
        <v>602</v>
      </c>
      <c r="C94" s="79"/>
      <c r="G94" s="6" t="s">
        <v>134</v>
      </c>
      <c r="H94" s="9" t="n">
        <f aca="false">'Obras exteriores '!D50</f>
        <v>481.71</v>
      </c>
      <c r="I94" s="9" t="n">
        <f aca="false">'APU ESTRUCTURAS'!J1184</f>
        <v>2.9418736</v>
      </c>
      <c r="J94" s="9" t="n">
        <f aca="false">H94*I94</f>
        <v>1417.129931856</v>
      </c>
      <c r="K94" s="9"/>
    </row>
    <row r="95" customFormat="false" ht="15" hidden="false" customHeight="false" outlineLevel="0" collapsed="false">
      <c r="A95" s="1" t="s">
        <v>626</v>
      </c>
      <c r="B95" s="1" t="s">
        <v>604</v>
      </c>
      <c r="C95" s="79"/>
      <c r="G95" s="6" t="s">
        <v>145</v>
      </c>
      <c r="H95" s="9" t="n">
        <f aca="false">'Obras exteriores '!D52</f>
        <v>77.410797</v>
      </c>
      <c r="I95" s="9" t="n">
        <f aca="false">'APU ESTRUCTURAS'!J1197</f>
        <v>19.2386832</v>
      </c>
      <c r="J95" s="9" t="n">
        <f aca="false">H95*I95</f>
        <v>1489.28179974251</v>
      </c>
      <c r="K95" s="9"/>
    </row>
    <row r="96" customFormat="false" ht="15" hidden="false" customHeight="false" outlineLevel="0" collapsed="false">
      <c r="A96" s="1" t="s">
        <v>627</v>
      </c>
      <c r="B96" s="1" t="s">
        <v>606</v>
      </c>
      <c r="C96" s="79"/>
      <c r="G96" s="6" t="s">
        <v>145</v>
      </c>
      <c r="H96" s="9" t="n">
        <f aca="false">'Obras exteriores '!D53</f>
        <v>90.995019</v>
      </c>
      <c r="I96" s="9" t="n">
        <f aca="false">'APU ESTRUCTURAS'!J1212</f>
        <v>19.2386832</v>
      </c>
      <c r="J96" s="9" t="n">
        <f aca="false">H96*I96</f>
        <v>1750.62434331898</v>
      </c>
      <c r="K96" s="9"/>
    </row>
    <row r="97" customFormat="false" ht="15" hidden="false" customHeight="false" outlineLevel="0" collapsed="false">
      <c r="A97" s="14" t="s">
        <v>628</v>
      </c>
      <c r="B97" s="41" t="s">
        <v>81</v>
      </c>
      <c r="G97" s="6"/>
      <c r="H97" s="9"/>
      <c r="I97" s="9"/>
      <c r="J97" s="43" t="n">
        <f aca="false">SUM(J98:J102)</f>
        <v>1163.10352549337</v>
      </c>
      <c r="K97" s="9"/>
    </row>
    <row r="98" customFormat="false" ht="15" hidden="false" customHeight="false" outlineLevel="0" collapsed="false">
      <c r="A98" s="1" t="s">
        <v>629</v>
      </c>
      <c r="B98" s="1" t="s">
        <v>630</v>
      </c>
      <c r="G98" s="6" t="s">
        <v>134</v>
      </c>
      <c r="H98" s="9" t="n">
        <f aca="false">'Obras exteriores '!D61</f>
        <v>2.25</v>
      </c>
      <c r="I98" s="9" t="n">
        <f aca="false">'APU ESTRUCTURAS'!J1227</f>
        <v>84.6740433333333</v>
      </c>
      <c r="J98" s="9" t="n">
        <f aca="false">H98*I98</f>
        <v>190.5165975</v>
      </c>
      <c r="K98" s="9"/>
    </row>
    <row r="99" customFormat="false" ht="15" hidden="false" customHeight="false" outlineLevel="0" collapsed="false">
      <c r="A99" s="1" t="s">
        <v>631</v>
      </c>
      <c r="B99" s="1" t="s">
        <v>632</v>
      </c>
      <c r="G99" s="6" t="s">
        <v>297</v>
      </c>
      <c r="H99" s="9" t="n">
        <f aca="false">'Obras exteriores '!D62</f>
        <v>2</v>
      </c>
      <c r="I99" s="9" t="n">
        <f aca="false">'APU ESTRUCTURAS'!J1246</f>
        <v>7.50579971428572</v>
      </c>
      <c r="J99" s="9" t="n">
        <f aca="false">H99*I99</f>
        <v>15.0115994285714</v>
      </c>
      <c r="K99" s="9"/>
    </row>
    <row r="100" customFormat="false" ht="15" hidden="false" customHeight="false" outlineLevel="0" collapsed="false">
      <c r="A100" s="1" t="s">
        <v>633</v>
      </c>
      <c r="B100" s="1" t="s">
        <v>602</v>
      </c>
      <c r="G100" s="6" t="s">
        <v>134</v>
      </c>
      <c r="H100" s="9" t="n">
        <f aca="false">'Obras exteriores '!D63</f>
        <v>10</v>
      </c>
      <c r="I100" s="9" t="n">
        <f aca="false">'APU ESTRUCTURAS'!J1262</f>
        <v>2.9418736</v>
      </c>
      <c r="J100" s="9" t="n">
        <f aca="false">H100*I100</f>
        <v>29.418736</v>
      </c>
      <c r="K100" s="9"/>
      <c r="P100" s="14"/>
    </row>
    <row r="101" customFormat="false" ht="15" hidden="false" customHeight="false" outlineLevel="0" collapsed="false">
      <c r="A101" s="1" t="s">
        <v>634</v>
      </c>
      <c r="B101" s="1" t="s">
        <v>635</v>
      </c>
      <c r="G101" s="6" t="s">
        <v>204</v>
      </c>
      <c r="H101" s="9" t="n">
        <f aca="false">'Obras exteriores '!D64</f>
        <v>2</v>
      </c>
      <c r="I101" s="9" t="n">
        <f aca="false">'APU ESTRUCTURAS'!J1275</f>
        <v>445.90736</v>
      </c>
      <c r="J101" s="9" t="n">
        <f aca="false">H101*I101</f>
        <v>891.81472</v>
      </c>
      <c r="K101" s="9"/>
    </row>
    <row r="102" customFormat="false" ht="15" hidden="false" customHeight="false" outlineLevel="0" collapsed="false">
      <c r="A102" s="1" t="s">
        <v>636</v>
      </c>
      <c r="B102" s="1" t="s">
        <v>606</v>
      </c>
      <c r="G102" s="6" t="s">
        <v>145</v>
      </c>
      <c r="H102" s="9" t="n">
        <f aca="false">'Obras exteriores '!D65</f>
        <v>1.889</v>
      </c>
      <c r="I102" s="9" t="n">
        <f aca="false">'APU ESTRUCTURAS'!J1294</f>
        <v>19.2386832</v>
      </c>
      <c r="J102" s="9" t="n">
        <f aca="false">H102*I102</f>
        <v>36.3418725648</v>
      </c>
      <c r="K102" s="9"/>
    </row>
    <row r="103" customFormat="false" ht="15" hidden="false" customHeight="false" outlineLevel="0" collapsed="false">
      <c r="A103" s="14" t="s">
        <v>637</v>
      </c>
      <c r="B103" s="41" t="s">
        <v>83</v>
      </c>
      <c r="G103" s="6"/>
      <c r="H103" s="9"/>
      <c r="I103" s="9"/>
      <c r="J103" s="43" t="n">
        <f aca="false">SUM(J104)</f>
        <v>69.41</v>
      </c>
      <c r="K103" s="9"/>
    </row>
    <row r="104" customFormat="false" ht="15" hidden="false" customHeight="false" outlineLevel="0" collapsed="false">
      <c r="A104" s="1" t="s">
        <v>638</v>
      </c>
      <c r="B104" s="1" t="s">
        <v>83</v>
      </c>
      <c r="G104" s="6" t="s">
        <v>566</v>
      </c>
      <c r="H104" s="9" t="n">
        <f aca="false">'Obras exteriores '!D68</f>
        <v>1</v>
      </c>
      <c r="I104" s="9" t="n">
        <f aca="false">'APU ESTRUCTURAS'!J1309</f>
        <v>69.41</v>
      </c>
      <c r="J104" s="9" t="n">
        <f aca="false">H104*I104</f>
        <v>69.41</v>
      </c>
      <c r="K104" s="9"/>
    </row>
    <row r="105" customFormat="false" ht="15" hidden="false" customHeight="false" outlineLevel="0" collapsed="false">
      <c r="A105" s="14" t="s">
        <v>639</v>
      </c>
      <c r="B105" s="41" t="s">
        <v>640</v>
      </c>
      <c r="G105" s="6"/>
      <c r="H105" s="9"/>
      <c r="I105" s="9"/>
      <c r="J105" s="43" t="n">
        <f aca="false">SUM(J106:J109)</f>
        <v>31834.1219429596</v>
      </c>
      <c r="K105" s="9"/>
    </row>
    <row r="106" customFormat="false" ht="15" hidden="false" customHeight="false" outlineLevel="0" collapsed="false">
      <c r="A106" s="1" t="s">
        <v>641</v>
      </c>
      <c r="B106" s="1" t="s">
        <v>642</v>
      </c>
      <c r="G106" s="6" t="s">
        <v>145</v>
      </c>
      <c r="H106" s="9" t="n">
        <f aca="false">'Obras exteriores '!D83</f>
        <v>10</v>
      </c>
      <c r="I106" s="9" t="n">
        <f aca="false">'APU ESTRUCTURAS'!J1316</f>
        <v>1489.7348144</v>
      </c>
      <c r="J106" s="9" t="n">
        <f aca="false">H106*I106</f>
        <v>14897.348144</v>
      </c>
      <c r="K106" s="9"/>
      <c r="P106" s="14"/>
    </row>
    <row r="107" customFormat="false" ht="15" hidden="false" customHeight="false" outlineLevel="0" collapsed="false">
      <c r="A107" s="1" t="s">
        <v>643</v>
      </c>
      <c r="B107" s="1" t="s">
        <v>644</v>
      </c>
      <c r="G107" s="6" t="s">
        <v>145</v>
      </c>
      <c r="H107" s="9" t="n">
        <f aca="false">'Obras exteriores '!D84</f>
        <v>10</v>
      </c>
      <c r="I107" s="9" t="n">
        <f aca="false">'APU ESTRUCTURAS'!J1325</f>
        <v>1583.5817404</v>
      </c>
      <c r="J107" s="9" t="n">
        <f aca="false">H107*I107</f>
        <v>15835.817404</v>
      </c>
      <c r="K107" s="9"/>
    </row>
    <row r="108" customFormat="false" ht="15" hidden="false" customHeight="false" outlineLevel="0" collapsed="false">
      <c r="A108" s="1" t="s">
        <v>645</v>
      </c>
      <c r="B108" s="1" t="s">
        <v>646</v>
      </c>
      <c r="G108" s="6" t="s">
        <v>145</v>
      </c>
      <c r="H108" s="9" t="n">
        <f aca="false">'Obras exteriores '!D85</f>
        <v>10</v>
      </c>
      <c r="I108" s="9" t="n">
        <f aca="false">'APU ESTRUCTURAS'!J1335</f>
        <v>107.845655777778</v>
      </c>
      <c r="J108" s="9" t="n">
        <f aca="false">H108*I108</f>
        <v>1078.45655777778</v>
      </c>
      <c r="K108" s="9"/>
      <c r="P108" s="14"/>
    </row>
    <row r="109" customFormat="false" ht="15" hidden="false" customHeight="false" outlineLevel="0" collapsed="false">
      <c r="A109" s="1" t="s">
        <v>647</v>
      </c>
      <c r="B109" s="1" t="s">
        <v>648</v>
      </c>
      <c r="G109" s="6" t="s">
        <v>145</v>
      </c>
      <c r="H109" s="9" t="n">
        <f aca="false">'Obras exteriores '!D87</f>
        <v>1.19318181818182</v>
      </c>
      <c r="I109" s="9" t="n">
        <f aca="false">'APU ESTRUCTURAS'!J1472</f>
        <v>18.8570064</v>
      </c>
      <c r="J109" s="9" t="n">
        <f aca="false">H109*I109</f>
        <v>22.4998371818182</v>
      </c>
      <c r="K109" s="9"/>
    </row>
    <row r="110" customFormat="false" ht="15" hidden="false" customHeight="false" outlineLevel="0" collapsed="false">
      <c r="A110" s="14" t="s">
        <v>649</v>
      </c>
      <c r="B110" s="41" t="s">
        <v>85</v>
      </c>
      <c r="G110" s="6"/>
      <c r="H110" s="9"/>
      <c r="I110" s="9"/>
      <c r="J110" s="43" t="n">
        <f aca="false">SUM(J111)</f>
        <v>29580.5881071662</v>
      </c>
      <c r="K110" s="9"/>
    </row>
    <row r="111" customFormat="false" ht="15" hidden="false" customHeight="false" outlineLevel="0" collapsed="false">
      <c r="A111" s="1" t="s">
        <v>650</v>
      </c>
      <c r="B111" s="1" t="s">
        <v>85</v>
      </c>
      <c r="G111" s="6" t="s">
        <v>134</v>
      </c>
      <c r="H111" s="9" t="n">
        <f aca="false">'Obras exteriores '!D92</f>
        <v>1</v>
      </c>
      <c r="I111" s="9" t="n">
        <f aca="false">'APU ESTRUCTURAS'!J1488</f>
        <v>29580.5881071662</v>
      </c>
      <c r="J111" s="9" t="n">
        <f aca="false">H111*I111</f>
        <v>29580.5881071662</v>
      </c>
      <c r="K111" s="9"/>
    </row>
    <row r="112" customFormat="false" ht="15" hidden="false" customHeight="false" outlineLevel="0" collapsed="false">
      <c r="A112" s="55"/>
      <c r="H112" s="9"/>
      <c r="I112" s="9"/>
      <c r="J112" s="9"/>
      <c r="K112" s="9"/>
    </row>
    <row r="113" customFormat="false" ht="15" hidden="false" customHeight="false" outlineLevel="0" collapsed="false">
      <c r="H113" s="9"/>
      <c r="I113" s="9"/>
      <c r="J113" s="9"/>
      <c r="K113" s="9"/>
      <c r="P113" s="14"/>
    </row>
    <row r="114" customFormat="false" ht="15" hidden="false" customHeight="false" outlineLevel="0" collapsed="false">
      <c r="K114" s="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BD14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3"/>
    <col collapsed="false" customWidth="true" hidden="false" outlineLevel="0" max="4" min="4" style="1" width="12.14"/>
    <col collapsed="false" customWidth="true" hidden="false" outlineLevel="0" max="13" min="13" style="1" width="11.72"/>
    <col collapsed="false" customWidth="true" hidden="false" outlineLevel="0" max="14" min="14" style="1" width="19.57"/>
    <col collapsed="false" customWidth="true" hidden="false" outlineLevel="0" max="15" min="15" style="1" width="16.14"/>
    <col collapsed="false" customWidth="true" hidden="false" outlineLevel="0" max="16384" min="16384" style="1" width="10.16"/>
  </cols>
  <sheetData>
    <row r="1" customFormat="false" ht="15" hidden="false" customHeight="false" outlineLevel="0" collapsed="false">
      <c r="A1" s="14" t="s">
        <v>278</v>
      </c>
      <c r="B1" s="14" t="str">
        <f aca="false">ESTRUCTURA!A4</f>
        <v>02.01.01</v>
      </c>
      <c r="C1" s="14" t="s">
        <v>459</v>
      </c>
      <c r="D1" s="14"/>
    </row>
    <row r="2" customFormat="false" ht="15" hidden="false" customHeight="false" outlineLevel="0" collapsed="false">
      <c r="A2" s="14" t="s">
        <v>279</v>
      </c>
      <c r="B2" s="14" t="s">
        <v>417</v>
      </c>
      <c r="C2" s="36" t="s">
        <v>281</v>
      </c>
      <c r="D2" s="52" t="n">
        <v>250</v>
      </c>
      <c r="E2" s="36" t="s">
        <v>282</v>
      </c>
      <c r="F2" s="52" t="n">
        <f aca="false">D2</f>
        <v>250</v>
      </c>
      <c r="G2" s="14" t="s">
        <v>283</v>
      </c>
      <c r="I2" s="36" t="s">
        <v>204</v>
      </c>
      <c r="J2" s="53" t="n">
        <f aca="false">J8+J12</f>
        <v>8.45820448</v>
      </c>
    </row>
    <row r="3" customFormat="false" ht="15" hidden="false" customHeight="false" outlineLevel="0" collapsed="false">
      <c r="A3" s="14" t="s">
        <v>284</v>
      </c>
      <c r="B3" s="14" t="s">
        <v>285</v>
      </c>
      <c r="F3" s="36" t="s">
        <v>123</v>
      </c>
      <c r="G3" s="36" t="s">
        <v>286</v>
      </c>
      <c r="H3" s="36" t="s">
        <v>287</v>
      </c>
      <c r="I3" s="36" t="s">
        <v>288</v>
      </c>
      <c r="J3" s="36" t="s">
        <v>289</v>
      </c>
    </row>
    <row r="4" customFormat="false" ht="15" hidden="false" customHeight="false" outlineLevel="0" collapsed="false">
      <c r="B4" s="54" t="s">
        <v>290</v>
      </c>
    </row>
    <row r="5" customFormat="false" ht="15" hidden="false" customHeight="false" outlineLevel="0" collapsed="false">
      <c r="B5" s="1" t="s">
        <v>651</v>
      </c>
      <c r="F5" s="55" t="s">
        <v>292</v>
      </c>
      <c r="G5" s="56" t="n">
        <v>0.1</v>
      </c>
      <c r="H5" s="57" t="n">
        <f aca="false">G5*8/$D$2</f>
        <v>0.0032</v>
      </c>
      <c r="I5" s="1" t="n">
        <v>34.73</v>
      </c>
      <c r="J5" s="28" t="n">
        <f aca="false">H5*I5</f>
        <v>0.111136</v>
      </c>
    </row>
    <row r="6" customFormat="false" ht="15" hidden="false" customHeight="false" outlineLevel="0" collapsed="false">
      <c r="B6" s="1" t="s">
        <v>291</v>
      </c>
      <c r="F6" s="55" t="s">
        <v>292</v>
      </c>
      <c r="G6" s="56" t="n">
        <v>2</v>
      </c>
      <c r="H6" s="57" t="n">
        <f aca="false">G6*8/$D$2</f>
        <v>0.064</v>
      </c>
      <c r="I6" s="28" t="n">
        <v>28.94</v>
      </c>
      <c r="J6" s="28" t="n">
        <f aca="false">H6*I6</f>
        <v>1.85216</v>
      </c>
    </row>
    <row r="7" customFormat="false" ht="15" hidden="false" customHeight="false" outlineLevel="0" collapsed="false">
      <c r="B7" s="1" t="s">
        <v>294</v>
      </c>
      <c r="F7" s="55" t="s">
        <v>292</v>
      </c>
      <c r="G7" s="56" t="n">
        <v>1</v>
      </c>
      <c r="H7" s="57" t="n">
        <f aca="false">G7*8/$D$2</f>
        <v>0.032</v>
      </c>
      <c r="I7" s="1" t="n">
        <v>20.51</v>
      </c>
      <c r="J7" s="28" t="n">
        <f aca="false">H7*I7</f>
        <v>0.65632</v>
      </c>
    </row>
    <row r="8" customFormat="false" ht="15" hidden="false" customHeight="false" outlineLevel="0" collapsed="false">
      <c r="J8" s="53" t="n">
        <f aca="false">SUM(J5:J7)</f>
        <v>2.619616</v>
      </c>
    </row>
    <row r="9" customFormat="false" ht="15" hidden="false" customHeight="false" outlineLevel="0" collapsed="false">
      <c r="B9" s="54" t="s">
        <v>310</v>
      </c>
    </row>
    <row r="10" customFormat="false" ht="15" hidden="false" customHeight="false" outlineLevel="0" collapsed="false">
      <c r="B10" s="1" t="s">
        <v>311</v>
      </c>
      <c r="F10" s="55" t="s">
        <v>312</v>
      </c>
      <c r="H10" s="57" t="n">
        <v>3</v>
      </c>
      <c r="I10" s="28" t="n">
        <f aca="false">J8</f>
        <v>2.619616</v>
      </c>
      <c r="J10" s="28" t="n">
        <f aca="false">H10%*I10</f>
        <v>0.07858848</v>
      </c>
    </row>
    <row r="11" customFormat="false" ht="15" hidden="false" customHeight="false" outlineLevel="0" collapsed="false">
      <c r="B11" s="1" t="s">
        <v>652</v>
      </c>
      <c r="F11" s="55" t="s">
        <v>338</v>
      </c>
      <c r="G11" s="56" t="n">
        <v>1</v>
      </c>
      <c r="H11" s="57" t="n">
        <f aca="false">G11*8/$D$2</f>
        <v>0.032</v>
      </c>
      <c r="I11" s="1" t="n">
        <v>180</v>
      </c>
      <c r="J11" s="28" t="n">
        <f aca="false">H11*I11</f>
        <v>5.76</v>
      </c>
    </row>
    <row r="12" customFormat="false" ht="15" hidden="false" customHeight="false" outlineLevel="0" collapsed="false">
      <c r="A12" s="60"/>
      <c r="B12" s="60"/>
      <c r="C12" s="60"/>
      <c r="D12" s="60"/>
      <c r="E12" s="60"/>
      <c r="F12" s="60"/>
      <c r="G12" s="60"/>
      <c r="H12" s="60"/>
      <c r="I12" s="60"/>
      <c r="J12" s="61" t="n">
        <f aca="false">SUM(J10:J11)</f>
        <v>5.83858848</v>
      </c>
    </row>
    <row r="13" customFormat="false" ht="15" hidden="false" customHeight="false" outlineLevel="0" collapsed="false">
      <c r="B13" s="54"/>
      <c r="F13" s="55"/>
      <c r="G13" s="56"/>
      <c r="H13" s="57"/>
    </row>
    <row r="14" customFormat="false" ht="15" hidden="false" customHeight="false" outlineLevel="0" collapsed="false">
      <c r="I14" s="28"/>
      <c r="J14" s="28"/>
    </row>
    <row r="15" customFormat="false" ht="15" hidden="false" customHeight="false" outlineLevel="0" collapsed="false">
      <c r="I15" s="14"/>
      <c r="J15" s="53"/>
    </row>
    <row r="17" customFormat="false" ht="15" hidden="false" customHeight="false" outlineLevel="0" collapsed="false">
      <c r="A17" s="14" t="s">
        <v>278</v>
      </c>
      <c r="B17" s="14" t="str">
        <f aca="false">ESTRUCTURA!A5</f>
        <v>02.01.02</v>
      </c>
      <c r="C17" s="14" t="s">
        <v>461</v>
      </c>
      <c r="D17" s="14"/>
    </row>
    <row r="18" customFormat="false" ht="15" hidden="false" customHeight="false" outlineLevel="0" collapsed="false">
      <c r="A18" s="14" t="s">
        <v>279</v>
      </c>
      <c r="B18" s="14" t="s">
        <v>417</v>
      </c>
      <c r="C18" s="36" t="s">
        <v>281</v>
      </c>
      <c r="D18" s="52" t="n">
        <v>4</v>
      </c>
      <c r="E18" s="36" t="s">
        <v>282</v>
      </c>
      <c r="F18" s="52" t="n">
        <f aca="false">D18</f>
        <v>4</v>
      </c>
      <c r="G18" s="14" t="s">
        <v>283</v>
      </c>
      <c r="I18" s="36" t="s">
        <v>204</v>
      </c>
      <c r="J18" s="53" t="n">
        <f aca="false">J23+J26</f>
        <v>49.40498</v>
      </c>
    </row>
    <row r="19" customFormat="false" ht="15" hidden="false" customHeight="false" outlineLevel="0" collapsed="false">
      <c r="A19" s="14" t="s">
        <v>284</v>
      </c>
      <c r="B19" s="14" t="s">
        <v>285</v>
      </c>
      <c r="F19" s="36" t="s">
        <v>123</v>
      </c>
      <c r="G19" s="36" t="s">
        <v>286</v>
      </c>
      <c r="H19" s="36" t="s">
        <v>287</v>
      </c>
      <c r="I19" s="36" t="s">
        <v>288</v>
      </c>
      <c r="J19" s="36" t="s">
        <v>289</v>
      </c>
    </row>
    <row r="20" customFormat="false" ht="15" hidden="false" customHeight="false" outlineLevel="0" collapsed="false">
      <c r="B20" s="54" t="s">
        <v>290</v>
      </c>
    </row>
    <row r="21" customFormat="false" ht="15" hidden="false" customHeight="false" outlineLevel="0" collapsed="false">
      <c r="B21" s="1" t="s">
        <v>651</v>
      </c>
      <c r="F21" s="55" t="s">
        <v>292</v>
      </c>
      <c r="G21" s="56" t="n">
        <v>0.1</v>
      </c>
      <c r="H21" s="57" t="n">
        <f aca="false">G21*8/$D$18</f>
        <v>0.2</v>
      </c>
      <c r="I21" s="1" t="n">
        <v>34.73</v>
      </c>
      <c r="J21" s="28" t="n">
        <f aca="false">H21*I21</f>
        <v>6.946</v>
      </c>
    </row>
    <row r="22" customFormat="false" ht="15" hidden="false" customHeight="false" outlineLevel="0" collapsed="false">
      <c r="B22" s="1" t="s">
        <v>294</v>
      </c>
      <c r="F22" s="55" t="s">
        <v>292</v>
      </c>
      <c r="G22" s="56" t="n">
        <v>1</v>
      </c>
      <c r="H22" s="57" t="n">
        <f aca="false">G22*8/$D$18</f>
        <v>2</v>
      </c>
      <c r="I22" s="1" t="n">
        <v>20.51</v>
      </c>
      <c r="J22" s="28" t="n">
        <f aca="false">H22*I22</f>
        <v>41.02</v>
      </c>
    </row>
    <row r="23" customFormat="false" ht="15" hidden="false" customHeight="false" outlineLevel="0" collapsed="false">
      <c r="F23" s="55"/>
      <c r="G23" s="56"/>
      <c r="H23" s="57"/>
      <c r="J23" s="53" t="n">
        <f aca="false">SUM(J21:J22)</f>
        <v>47.966</v>
      </c>
    </row>
    <row r="24" customFormat="false" ht="15" hidden="false" customHeight="false" outlineLevel="0" collapsed="false">
      <c r="B24" s="54" t="s">
        <v>310</v>
      </c>
    </row>
    <row r="25" customFormat="false" ht="15" hidden="false" customHeight="false" outlineLevel="0" collapsed="false">
      <c r="B25" s="1" t="s">
        <v>311</v>
      </c>
      <c r="F25" s="55" t="s">
        <v>312</v>
      </c>
      <c r="H25" s="57" t="n">
        <v>3</v>
      </c>
      <c r="I25" s="28" t="n">
        <f aca="false">J23</f>
        <v>47.966</v>
      </c>
      <c r="J25" s="28" t="n">
        <f aca="false">H25%*I25</f>
        <v>1.43898</v>
      </c>
    </row>
    <row r="26" customFormat="false" ht="15" hidden="false" customHeight="false" outlineLevel="0" collapsed="false">
      <c r="A26" s="60"/>
      <c r="B26" s="60"/>
      <c r="C26" s="60"/>
      <c r="D26" s="60"/>
      <c r="E26" s="60"/>
      <c r="F26" s="60"/>
      <c r="G26" s="60"/>
      <c r="H26" s="60"/>
      <c r="I26" s="80"/>
      <c r="J26" s="61" t="n">
        <f aca="false">SUM(J25)</f>
        <v>1.43898</v>
      </c>
    </row>
    <row r="28" customFormat="false" ht="15" hidden="false" customHeight="false" outlineLevel="0" collapsed="false">
      <c r="A28" s="14" t="s">
        <v>278</v>
      </c>
      <c r="B28" s="14" t="str">
        <f aca="false">ESTRUCTURA!A6</f>
        <v>02.01.03</v>
      </c>
      <c r="C28" s="14" t="s">
        <v>463</v>
      </c>
      <c r="D28" s="14"/>
    </row>
    <row r="29" customFormat="false" ht="15" hidden="false" customHeight="false" outlineLevel="0" collapsed="false">
      <c r="A29" s="14" t="s">
        <v>279</v>
      </c>
      <c r="B29" s="14" t="s">
        <v>417</v>
      </c>
      <c r="C29" s="36" t="s">
        <v>281</v>
      </c>
      <c r="D29" s="52" t="n">
        <v>30</v>
      </c>
      <c r="E29" s="36" t="s">
        <v>282</v>
      </c>
      <c r="F29" s="52" t="n">
        <f aca="false">D29</f>
        <v>30</v>
      </c>
      <c r="G29" s="14" t="s">
        <v>283</v>
      </c>
      <c r="I29" s="36" t="s">
        <v>204</v>
      </c>
      <c r="J29" s="53" t="n">
        <f aca="false">J35+J39+J43</f>
        <v>66.2342173333333</v>
      </c>
    </row>
    <row r="30" customFormat="false" ht="15" hidden="false" customHeight="false" outlineLevel="0" collapsed="false">
      <c r="A30" s="14" t="s">
        <v>284</v>
      </c>
      <c r="B30" s="14" t="s">
        <v>285</v>
      </c>
      <c r="F30" s="36" t="s">
        <v>123</v>
      </c>
      <c r="G30" s="36" t="s">
        <v>286</v>
      </c>
      <c r="H30" s="36" t="s">
        <v>287</v>
      </c>
      <c r="I30" s="36" t="s">
        <v>288</v>
      </c>
      <c r="J30" s="36" t="s">
        <v>289</v>
      </c>
    </row>
    <row r="31" customFormat="false" ht="15" hidden="false" customHeight="false" outlineLevel="0" collapsed="false">
      <c r="B31" s="54" t="s">
        <v>290</v>
      </c>
    </row>
    <row r="32" customFormat="false" ht="15" hidden="false" customHeight="false" outlineLevel="0" collapsed="false">
      <c r="B32" s="1" t="s">
        <v>651</v>
      </c>
      <c r="F32" s="55" t="s">
        <v>292</v>
      </c>
      <c r="G32" s="56" t="n">
        <v>0.1</v>
      </c>
      <c r="H32" s="57" t="n">
        <f aca="false">G32*8/$D$29</f>
        <v>0.0266666666666667</v>
      </c>
      <c r="I32" s="1" t="n">
        <v>34.73</v>
      </c>
      <c r="J32" s="28" t="n">
        <f aca="false">H32*I32</f>
        <v>0.926133333333333</v>
      </c>
    </row>
    <row r="33" customFormat="false" ht="15" hidden="false" customHeight="false" outlineLevel="0" collapsed="false">
      <c r="B33" s="1" t="s">
        <v>294</v>
      </c>
      <c r="F33" s="55" t="s">
        <v>292</v>
      </c>
      <c r="G33" s="56" t="n">
        <v>1</v>
      </c>
      <c r="H33" s="57" t="n">
        <f aca="false">G33*8/$D$29</f>
        <v>0.266666666666667</v>
      </c>
      <c r="I33" s="1" t="n">
        <v>20.51</v>
      </c>
      <c r="J33" s="28" t="n">
        <f aca="false">H33*I33</f>
        <v>5.46933333333333</v>
      </c>
    </row>
    <row r="34" customFormat="false" ht="15" hidden="false" customHeight="false" outlineLevel="0" collapsed="false">
      <c r="B34" s="1" t="s">
        <v>653</v>
      </c>
      <c r="F34" s="55" t="s">
        <v>292</v>
      </c>
      <c r="G34" s="56" t="n">
        <v>1</v>
      </c>
      <c r="H34" s="57" t="n">
        <f aca="false">G34*8/$D$29</f>
        <v>0.266666666666667</v>
      </c>
      <c r="I34" s="1" t="n">
        <v>29.94</v>
      </c>
      <c r="J34" s="28" t="n">
        <f aca="false">H34*I34</f>
        <v>7.984</v>
      </c>
    </row>
    <row r="35" customFormat="false" ht="15" hidden="false" customHeight="false" outlineLevel="0" collapsed="false">
      <c r="F35" s="55"/>
      <c r="G35" s="56"/>
      <c r="H35" s="57"/>
      <c r="J35" s="53" t="n">
        <f aca="false">SUM(J32:J34)</f>
        <v>14.3794666666667</v>
      </c>
    </row>
    <row r="36" customFormat="false" ht="15" hidden="false" customHeight="false" outlineLevel="0" collapsed="false">
      <c r="B36" s="54" t="s">
        <v>654</v>
      </c>
      <c r="F36" s="55"/>
      <c r="G36" s="56"/>
      <c r="H36" s="57"/>
      <c r="J36" s="28"/>
    </row>
    <row r="37" customFormat="false" ht="15" hidden="false" customHeight="false" outlineLevel="0" collapsed="false">
      <c r="B37" s="1" t="s">
        <v>655</v>
      </c>
      <c r="F37" s="55" t="s">
        <v>204</v>
      </c>
      <c r="G37" s="56"/>
      <c r="H37" s="57" t="n">
        <v>1.05</v>
      </c>
      <c r="I37" s="46" t="n">
        <v>44.07</v>
      </c>
      <c r="J37" s="28" t="n">
        <f aca="false">H37*I37</f>
        <v>46.2735</v>
      </c>
    </row>
    <row r="38" customFormat="false" ht="15" hidden="false" customHeight="false" outlineLevel="0" collapsed="false">
      <c r="B38" s="1" t="s">
        <v>656</v>
      </c>
      <c r="F38" s="55" t="s">
        <v>204</v>
      </c>
      <c r="G38" s="56"/>
      <c r="H38" s="57" t="n">
        <v>0.08</v>
      </c>
      <c r="I38" s="1" t="n">
        <v>6.14</v>
      </c>
      <c r="J38" s="28" t="n">
        <f aca="false">H38*I38</f>
        <v>0.4912</v>
      </c>
    </row>
    <row r="39" customFormat="false" ht="15" hidden="false" customHeight="false" outlineLevel="0" collapsed="false">
      <c r="F39" s="55"/>
      <c r="H39" s="57"/>
      <c r="J39" s="53" t="n">
        <f aca="false">SUM(J37:J38)</f>
        <v>46.7647</v>
      </c>
    </row>
    <row r="40" customFormat="false" ht="15" hidden="false" customHeight="false" outlineLevel="0" collapsed="false">
      <c r="B40" s="54" t="s">
        <v>310</v>
      </c>
    </row>
    <row r="41" customFormat="false" ht="15" hidden="false" customHeight="false" outlineLevel="0" collapsed="false">
      <c r="B41" s="1" t="s">
        <v>311</v>
      </c>
      <c r="F41" s="55" t="s">
        <v>312</v>
      </c>
      <c r="H41" s="57" t="n">
        <v>3</v>
      </c>
      <c r="I41" s="28" t="n">
        <f aca="false">J35</f>
        <v>14.3794666666667</v>
      </c>
      <c r="J41" s="28" t="n">
        <f aca="false">H41%*I41</f>
        <v>0.431384</v>
      </c>
    </row>
    <row r="42" customFormat="false" ht="15" hidden="false" customHeight="false" outlineLevel="0" collapsed="false">
      <c r="B42" s="1" t="s">
        <v>657</v>
      </c>
      <c r="F42" s="55" t="s">
        <v>338</v>
      </c>
      <c r="G42" s="56" t="n">
        <v>1</v>
      </c>
      <c r="H42" s="57" t="n">
        <f aca="false">G42*8/$D$29</f>
        <v>0.266666666666667</v>
      </c>
      <c r="I42" s="1" t="n">
        <v>17.47</v>
      </c>
      <c r="J42" s="28" t="n">
        <f aca="false">H42*I42</f>
        <v>4.65866666666667</v>
      </c>
    </row>
    <row r="43" customFormat="false" ht="15" hidden="false" customHeight="false" outlineLevel="0" collapsed="false">
      <c r="A43" s="60"/>
      <c r="B43" s="60"/>
      <c r="C43" s="60"/>
      <c r="D43" s="60"/>
      <c r="E43" s="60"/>
      <c r="F43" s="60"/>
      <c r="G43" s="60"/>
      <c r="H43" s="60"/>
      <c r="I43" s="80"/>
      <c r="J43" s="61" t="n">
        <f aca="false">SUM(J41:J42)</f>
        <v>5.09005066666667</v>
      </c>
    </row>
    <row r="45" customFormat="false" ht="15" hidden="false" customHeight="false" outlineLevel="0" collapsed="false">
      <c r="A45" s="14" t="s">
        <v>278</v>
      </c>
      <c r="B45" s="14" t="str">
        <f aca="false">ESTRUCTURA!A7</f>
        <v>02.01.04</v>
      </c>
      <c r="C45" s="14" t="s">
        <v>465</v>
      </c>
      <c r="D45" s="14"/>
    </row>
    <row r="46" customFormat="false" ht="15" hidden="false" customHeight="false" outlineLevel="0" collapsed="false">
      <c r="A46" s="14" t="s">
        <v>279</v>
      </c>
      <c r="B46" s="14" t="s">
        <v>417</v>
      </c>
      <c r="C46" s="36" t="s">
        <v>281</v>
      </c>
      <c r="D46" s="52" t="n">
        <v>40</v>
      </c>
      <c r="E46" s="36" t="s">
        <v>282</v>
      </c>
      <c r="F46" s="52" t="n">
        <f aca="false">D46</f>
        <v>40</v>
      </c>
      <c r="G46" s="14" t="s">
        <v>283</v>
      </c>
      <c r="I46" s="36" t="s">
        <v>204</v>
      </c>
      <c r="J46" s="53" t="n">
        <f aca="false">J52+J60</f>
        <v>19.29963</v>
      </c>
    </row>
    <row r="47" customFormat="false" ht="15" hidden="false" customHeight="false" outlineLevel="0" collapsed="false">
      <c r="A47" s="14" t="s">
        <v>284</v>
      </c>
      <c r="B47" s="14" t="s">
        <v>285</v>
      </c>
      <c r="F47" s="36" t="s">
        <v>123</v>
      </c>
      <c r="G47" s="36" t="s">
        <v>286</v>
      </c>
      <c r="H47" s="36" t="s">
        <v>287</v>
      </c>
      <c r="I47" s="36" t="s">
        <v>288</v>
      </c>
      <c r="J47" s="36" t="s">
        <v>289</v>
      </c>
    </row>
    <row r="48" customFormat="false" ht="15" hidden="false" customHeight="false" outlineLevel="0" collapsed="false">
      <c r="B48" s="54" t="s">
        <v>290</v>
      </c>
    </row>
    <row r="49" customFormat="false" ht="15" hidden="false" customHeight="false" outlineLevel="0" collapsed="false">
      <c r="B49" s="1" t="s">
        <v>651</v>
      </c>
      <c r="F49" s="55" t="s">
        <v>292</v>
      </c>
      <c r="G49" s="56" t="n">
        <v>0.1</v>
      </c>
      <c r="H49" s="57" t="n">
        <f aca="false">G49*8/$D$46</f>
        <v>0.02</v>
      </c>
      <c r="I49" s="1" t="n">
        <v>34.73</v>
      </c>
      <c r="J49" s="28" t="n">
        <f aca="false">H49*I49</f>
        <v>0.6946</v>
      </c>
    </row>
    <row r="50" customFormat="false" ht="15" hidden="false" customHeight="false" outlineLevel="0" collapsed="false">
      <c r="B50" s="1" t="s">
        <v>294</v>
      </c>
      <c r="F50" s="55" t="s">
        <v>292</v>
      </c>
      <c r="G50" s="56" t="n">
        <v>2</v>
      </c>
      <c r="H50" s="57" t="n">
        <f aca="false">G50*8/$D$46</f>
        <v>0.4</v>
      </c>
      <c r="I50" s="1" t="n">
        <v>20.51</v>
      </c>
      <c r="J50" s="28" t="n">
        <f aca="false">H50*I50</f>
        <v>8.204</v>
      </c>
    </row>
    <row r="51" customFormat="false" ht="15" hidden="false" customHeight="false" outlineLevel="0" collapsed="false">
      <c r="B51" s="1" t="s">
        <v>653</v>
      </c>
      <c r="F51" s="55" t="s">
        <v>292</v>
      </c>
      <c r="G51" s="56" t="n">
        <v>1</v>
      </c>
      <c r="H51" s="57" t="n">
        <f aca="false">G51*8/$D$46</f>
        <v>0.2</v>
      </c>
      <c r="I51" s="1" t="n">
        <v>29.94</v>
      </c>
      <c r="J51" s="28" t="n">
        <f aca="false">H51*I51</f>
        <v>5.988</v>
      </c>
    </row>
    <row r="52" customFormat="false" ht="15" hidden="false" customHeight="false" outlineLevel="0" collapsed="false">
      <c r="J52" s="53" t="n">
        <f aca="false">SUM(J49:J51)</f>
        <v>14.8866</v>
      </c>
    </row>
    <row r="53" customFormat="false" ht="15" hidden="false" customHeight="false" outlineLevel="0" collapsed="false">
      <c r="B53" s="54" t="s">
        <v>654</v>
      </c>
      <c r="F53" s="55"/>
      <c r="G53" s="56"/>
      <c r="H53" s="57"/>
      <c r="J53" s="28"/>
    </row>
    <row r="54" customFormat="false" ht="15" hidden="false" customHeight="false" outlineLevel="0" collapsed="false">
      <c r="B54" s="1" t="s">
        <v>656</v>
      </c>
      <c r="F54" s="55" t="s">
        <v>204</v>
      </c>
      <c r="G54" s="56"/>
      <c r="H54" s="57" t="n">
        <v>0.08</v>
      </c>
      <c r="I54" s="1" t="n">
        <v>6.14</v>
      </c>
      <c r="J54" s="28" t="n">
        <f aca="false">H54*I54</f>
        <v>0.4912</v>
      </c>
    </row>
    <row r="55" customFormat="false" ht="15" hidden="false" customHeight="false" outlineLevel="0" collapsed="false">
      <c r="F55" s="55"/>
      <c r="H55" s="57"/>
      <c r="J55" s="53" t="n">
        <f aca="false">SUM(J54:J54)</f>
        <v>0.4912</v>
      </c>
    </row>
    <row r="56" customFormat="false" ht="15" hidden="false" customHeight="false" outlineLevel="0" collapsed="false">
      <c r="B56" s="54" t="s">
        <v>310</v>
      </c>
    </row>
    <row r="57" customFormat="false" ht="15" hidden="false" customHeight="false" outlineLevel="0" collapsed="false">
      <c r="B57" s="1" t="s">
        <v>311</v>
      </c>
      <c r="F57" s="55" t="s">
        <v>312</v>
      </c>
      <c r="H57" s="57" t="n">
        <v>5</v>
      </c>
      <c r="I57" s="28" t="n">
        <f aca="false">J52</f>
        <v>14.8866</v>
      </c>
      <c r="J57" s="28" t="n">
        <f aca="false">H57%*I57</f>
        <v>0.74433</v>
      </c>
    </row>
    <row r="58" customFormat="false" ht="15" hidden="false" customHeight="false" outlineLevel="0" collapsed="false">
      <c r="B58" s="1" t="s">
        <v>657</v>
      </c>
      <c r="F58" s="55" t="s">
        <v>338</v>
      </c>
      <c r="G58" s="56" t="n">
        <v>1</v>
      </c>
      <c r="H58" s="57" t="n">
        <f aca="false">G58*8/$D$46</f>
        <v>0.2</v>
      </c>
      <c r="I58" s="1" t="n">
        <v>17.47</v>
      </c>
      <c r="J58" s="28" t="n">
        <f aca="false">H58*I58</f>
        <v>3.494</v>
      </c>
    </row>
    <row r="59" customFormat="false" ht="15" hidden="false" customHeight="false" outlineLevel="0" collapsed="false">
      <c r="B59" s="1" t="s">
        <v>658</v>
      </c>
      <c r="F59" s="55" t="s">
        <v>338</v>
      </c>
      <c r="G59" s="56" t="n">
        <v>0.05</v>
      </c>
      <c r="H59" s="57" t="n">
        <f aca="false">G59*8/$D$46</f>
        <v>0.01</v>
      </c>
      <c r="I59" s="1" t="n">
        <v>17.47</v>
      </c>
      <c r="J59" s="28" t="n">
        <f aca="false">H59*I59</f>
        <v>0.1747</v>
      </c>
    </row>
    <row r="60" customFormat="false" ht="15" hidden="false" customHeight="false" outlineLevel="0" collapsed="false">
      <c r="A60" s="60"/>
      <c r="B60" s="60"/>
      <c r="C60" s="60"/>
      <c r="D60" s="60"/>
      <c r="E60" s="60"/>
      <c r="F60" s="60"/>
      <c r="G60" s="60"/>
      <c r="H60" s="60"/>
      <c r="I60" s="80"/>
      <c r="J60" s="61" t="n">
        <f aca="false">SUM(J57:J59)</f>
        <v>4.41303</v>
      </c>
    </row>
    <row r="62" customFormat="false" ht="15" hidden="false" customHeight="false" outlineLevel="0" collapsed="false">
      <c r="A62" s="14" t="s">
        <v>278</v>
      </c>
      <c r="B62" s="14" t="str">
        <f aca="false">ESTRUCTURA!A8</f>
        <v>02.01.05</v>
      </c>
      <c r="C62" s="14" t="s">
        <v>467</v>
      </c>
      <c r="D62" s="14"/>
    </row>
    <row r="63" customFormat="false" ht="15" hidden="false" customHeight="false" outlineLevel="0" collapsed="false">
      <c r="A63" s="14" t="s">
        <v>279</v>
      </c>
      <c r="B63" s="14" t="s">
        <v>280</v>
      </c>
      <c r="C63" s="36" t="s">
        <v>281</v>
      </c>
      <c r="D63" s="52" t="n">
        <v>500</v>
      </c>
      <c r="E63" s="36" t="s">
        <v>282</v>
      </c>
      <c r="F63" s="52" t="n">
        <f aca="false">D63</f>
        <v>500</v>
      </c>
      <c r="G63" s="14" t="s">
        <v>283</v>
      </c>
      <c r="I63" s="36" t="s">
        <v>134</v>
      </c>
      <c r="J63" s="53" t="n">
        <f aca="false">J69+J75</f>
        <v>7.930344</v>
      </c>
    </row>
    <row r="64" customFormat="false" ht="15" hidden="false" customHeight="false" outlineLevel="0" collapsed="false">
      <c r="A64" s="14" t="s">
        <v>284</v>
      </c>
      <c r="B64" s="14" t="s">
        <v>285</v>
      </c>
      <c r="F64" s="36" t="s">
        <v>123</v>
      </c>
      <c r="G64" s="36" t="s">
        <v>286</v>
      </c>
      <c r="H64" s="36" t="s">
        <v>287</v>
      </c>
      <c r="I64" s="36" t="s">
        <v>288</v>
      </c>
      <c r="J64" s="36" t="s">
        <v>289</v>
      </c>
    </row>
    <row r="65" customFormat="false" ht="15" hidden="false" customHeight="false" outlineLevel="0" collapsed="false">
      <c r="B65" s="54" t="s">
        <v>290</v>
      </c>
    </row>
    <row r="66" customFormat="false" ht="15" hidden="false" customHeight="false" outlineLevel="0" collapsed="false">
      <c r="B66" s="1" t="s">
        <v>651</v>
      </c>
      <c r="F66" s="55" t="s">
        <v>292</v>
      </c>
      <c r="G66" s="56" t="n">
        <v>1</v>
      </c>
      <c r="H66" s="57" t="n">
        <f aca="false">G66*8/$D$63</f>
        <v>0.016</v>
      </c>
      <c r="I66" s="1" t="n">
        <v>34.73</v>
      </c>
      <c r="J66" s="28" t="n">
        <f aca="false">H66*I66</f>
        <v>0.55568</v>
      </c>
    </row>
    <row r="67" customFormat="false" ht="15" hidden="false" customHeight="false" outlineLevel="0" collapsed="false">
      <c r="B67" s="1" t="s">
        <v>293</v>
      </c>
      <c r="F67" s="55" t="s">
        <v>292</v>
      </c>
      <c r="G67" s="56" t="n">
        <v>1</v>
      </c>
      <c r="H67" s="57" t="n">
        <f aca="false">G67*8/$D$63</f>
        <v>0.016</v>
      </c>
      <c r="I67" s="1" t="n">
        <v>23.6</v>
      </c>
      <c r="J67" s="28" t="n">
        <f aca="false">H67*I67</f>
        <v>0.3776</v>
      </c>
    </row>
    <row r="68" customFormat="false" ht="15" hidden="false" customHeight="false" outlineLevel="0" collapsed="false">
      <c r="B68" s="1" t="s">
        <v>294</v>
      </c>
      <c r="F68" s="55" t="s">
        <v>292</v>
      </c>
      <c r="G68" s="56" t="n">
        <v>3</v>
      </c>
      <c r="H68" s="57" t="n">
        <f aca="false">G68*8/$D$63</f>
        <v>0.048</v>
      </c>
      <c r="I68" s="1" t="n">
        <v>20.51</v>
      </c>
      <c r="J68" s="28" t="n">
        <f aca="false">H68*I68</f>
        <v>0.98448</v>
      </c>
    </row>
    <row r="69" customFormat="false" ht="15" hidden="false" customHeight="false" outlineLevel="0" collapsed="false">
      <c r="J69" s="53" t="n">
        <f aca="false">SUM(J66:J68)</f>
        <v>1.91776</v>
      </c>
    </row>
    <row r="70" customFormat="false" ht="15" hidden="false" customHeight="false" outlineLevel="0" collapsed="false">
      <c r="B70" s="54" t="s">
        <v>310</v>
      </c>
    </row>
    <row r="71" customFormat="false" ht="15" hidden="false" customHeight="false" outlineLevel="0" collapsed="false">
      <c r="B71" s="1" t="s">
        <v>311</v>
      </c>
      <c r="F71" s="55" t="s">
        <v>312</v>
      </c>
      <c r="H71" s="57" t="n">
        <v>5</v>
      </c>
      <c r="I71" s="28" t="n">
        <f aca="false">J66</f>
        <v>0.55568</v>
      </c>
      <c r="J71" s="28" t="n">
        <f aca="false">H71%*I71</f>
        <v>0.027784</v>
      </c>
    </row>
    <row r="72" customFormat="false" ht="15" hidden="false" customHeight="false" outlineLevel="0" collapsed="false">
      <c r="B72" s="1" t="s">
        <v>657</v>
      </c>
      <c r="F72" s="55" t="s">
        <v>338</v>
      </c>
      <c r="G72" s="56" t="n">
        <v>1</v>
      </c>
      <c r="H72" s="57" t="n">
        <f aca="false">G72*8/$D$63</f>
        <v>0.016</v>
      </c>
      <c r="I72" s="1" t="n">
        <v>17.47</v>
      </c>
      <c r="J72" s="28" t="n">
        <f aca="false">H72*I72</f>
        <v>0.27952</v>
      </c>
    </row>
    <row r="73" customFormat="false" ht="15" hidden="false" customHeight="false" outlineLevel="0" collapsed="false">
      <c r="B73" s="1" t="s">
        <v>659</v>
      </c>
      <c r="F73" s="55" t="s">
        <v>338</v>
      </c>
      <c r="G73" s="56" t="n">
        <v>1</v>
      </c>
      <c r="H73" s="57" t="n">
        <f aca="false">G73*8/$D$63</f>
        <v>0.016</v>
      </c>
      <c r="I73" s="1" t="n">
        <v>136.06</v>
      </c>
      <c r="J73" s="28" t="n">
        <f aca="false">H73*I73</f>
        <v>2.17696</v>
      </c>
    </row>
    <row r="74" customFormat="false" ht="15" hidden="false" customHeight="false" outlineLevel="0" collapsed="false">
      <c r="B74" s="1" t="s">
        <v>660</v>
      </c>
      <c r="F74" s="55" t="s">
        <v>338</v>
      </c>
      <c r="G74" s="56" t="n">
        <v>1</v>
      </c>
      <c r="H74" s="57" t="n">
        <f aca="false">G74*8/$D$63</f>
        <v>0.016</v>
      </c>
      <c r="I74" s="1" t="n">
        <v>220.52</v>
      </c>
      <c r="J74" s="28" t="n">
        <f aca="false">H74*I74</f>
        <v>3.52832</v>
      </c>
    </row>
    <row r="75" customFormat="false" ht="15" hidden="false" customHeight="false" outlineLevel="0" collapsed="false">
      <c r="A75" s="60"/>
      <c r="B75" s="60"/>
      <c r="C75" s="60"/>
      <c r="D75" s="60"/>
      <c r="E75" s="60"/>
      <c r="F75" s="60"/>
      <c r="G75" s="60"/>
      <c r="H75" s="60"/>
      <c r="I75" s="80"/>
      <c r="J75" s="61" t="n">
        <f aca="false">SUM(J71:J74)</f>
        <v>6.012584</v>
      </c>
    </row>
    <row r="77" customFormat="false" ht="15" hidden="false" customHeight="false" outlineLevel="0" collapsed="false">
      <c r="A77" s="14" t="s">
        <v>278</v>
      </c>
      <c r="B77" s="14" t="str">
        <f aca="false">ESTRUCTURA!A9</f>
        <v>02.01.06</v>
      </c>
      <c r="C77" s="14" t="s">
        <v>469</v>
      </c>
      <c r="D77" s="14"/>
    </row>
    <row r="78" customFormat="false" ht="15" hidden="false" customHeight="false" outlineLevel="0" collapsed="false">
      <c r="A78" s="14" t="s">
        <v>279</v>
      </c>
      <c r="B78" s="14" t="s">
        <v>314</v>
      </c>
      <c r="C78" s="36" t="s">
        <v>281</v>
      </c>
      <c r="D78" s="52" t="n">
        <v>80</v>
      </c>
      <c r="E78" s="36" t="s">
        <v>282</v>
      </c>
      <c r="F78" s="52" t="n">
        <f aca="false">D78</f>
        <v>80</v>
      </c>
      <c r="G78" s="14" t="s">
        <v>283</v>
      </c>
      <c r="I78" s="36" t="s">
        <v>145</v>
      </c>
      <c r="J78" s="53" t="n">
        <f aca="false">J82+J86</f>
        <v>12.11253</v>
      </c>
    </row>
    <row r="79" customFormat="false" ht="15" hidden="false" customHeight="false" outlineLevel="0" collapsed="false">
      <c r="A79" s="14" t="s">
        <v>284</v>
      </c>
      <c r="B79" s="14" t="s">
        <v>285</v>
      </c>
      <c r="F79" s="36" t="s">
        <v>123</v>
      </c>
      <c r="G79" s="36" t="s">
        <v>286</v>
      </c>
      <c r="H79" s="36" t="s">
        <v>287</v>
      </c>
      <c r="I79" s="36" t="s">
        <v>288</v>
      </c>
      <c r="J79" s="36" t="s">
        <v>289</v>
      </c>
    </row>
    <row r="80" customFormat="false" ht="15" hidden="false" customHeight="false" outlineLevel="0" collapsed="false">
      <c r="B80" s="54" t="s">
        <v>290</v>
      </c>
    </row>
    <row r="81" customFormat="false" ht="15" hidden="false" customHeight="false" outlineLevel="0" collapsed="false">
      <c r="B81" s="1" t="s">
        <v>294</v>
      </c>
      <c r="F81" s="55" t="s">
        <v>292</v>
      </c>
      <c r="G81" s="56" t="n">
        <v>1</v>
      </c>
      <c r="H81" s="57" t="n">
        <f aca="false">G81*8/$D$78</f>
        <v>0.1</v>
      </c>
      <c r="I81" s="1" t="n">
        <v>20.51</v>
      </c>
      <c r="J81" s="28" t="n">
        <f aca="false">H81*I81</f>
        <v>2.051</v>
      </c>
    </row>
    <row r="82" customFormat="false" ht="15" hidden="false" customHeight="false" outlineLevel="0" collapsed="false">
      <c r="F82" s="55"/>
      <c r="G82" s="56"/>
      <c r="H82" s="57"/>
      <c r="J82" s="53" t="n">
        <f aca="false">SUM(J81:J81)</f>
        <v>2.051</v>
      </c>
    </row>
    <row r="83" customFormat="false" ht="15" hidden="false" customHeight="false" outlineLevel="0" collapsed="false">
      <c r="B83" s="54" t="s">
        <v>310</v>
      </c>
    </row>
    <row r="84" customFormat="false" ht="15" hidden="false" customHeight="false" outlineLevel="0" collapsed="false">
      <c r="B84" s="1" t="s">
        <v>311</v>
      </c>
      <c r="F84" s="55" t="s">
        <v>312</v>
      </c>
      <c r="H84" s="57" t="n">
        <v>3</v>
      </c>
      <c r="I84" s="28" t="n">
        <f aca="false">J82</f>
        <v>2.051</v>
      </c>
      <c r="J84" s="28" t="n">
        <f aca="false">H84%*I84</f>
        <v>0.06153</v>
      </c>
    </row>
    <row r="85" customFormat="false" ht="15" hidden="false" customHeight="false" outlineLevel="0" collapsed="false">
      <c r="B85" s="1" t="s">
        <v>661</v>
      </c>
      <c r="F85" s="55" t="s">
        <v>338</v>
      </c>
      <c r="G85" s="56" t="n">
        <v>1</v>
      </c>
      <c r="H85" s="57" t="n">
        <f aca="false">G85*8/$D$78</f>
        <v>0.1</v>
      </c>
      <c r="I85" s="1" t="n">
        <v>100</v>
      </c>
      <c r="J85" s="28" t="n">
        <f aca="false">H85*I85</f>
        <v>10</v>
      </c>
    </row>
    <row r="86" customFormat="false" ht="15" hidden="false" customHeight="false" outlineLevel="0" collapsed="false">
      <c r="A86" s="60"/>
      <c r="B86" s="60"/>
      <c r="C86" s="60"/>
      <c r="D86" s="60"/>
      <c r="E86" s="60"/>
      <c r="F86" s="60"/>
      <c r="G86" s="60"/>
      <c r="H86" s="60"/>
      <c r="I86" s="80"/>
      <c r="J86" s="61" t="n">
        <f aca="false">SUM(J84:J85)</f>
        <v>10.06153</v>
      </c>
    </row>
    <row r="88" customFormat="false" ht="15" hidden="false" customHeight="false" outlineLevel="0" collapsed="false">
      <c r="A88" s="14" t="s">
        <v>278</v>
      </c>
      <c r="B88" s="14" t="str">
        <f aca="false">ESTRUCTURA!A10</f>
        <v>02.01.07</v>
      </c>
      <c r="C88" s="14" t="s">
        <v>471</v>
      </c>
      <c r="D88" s="14"/>
    </row>
    <row r="89" customFormat="false" ht="15" hidden="false" customHeight="false" outlineLevel="0" collapsed="false">
      <c r="A89" s="14" t="s">
        <v>279</v>
      </c>
      <c r="B89" s="14" t="s">
        <v>417</v>
      </c>
      <c r="C89" s="36" t="s">
        <v>281</v>
      </c>
      <c r="D89" s="52" t="n">
        <v>187.5</v>
      </c>
      <c r="E89" s="36" t="s">
        <v>282</v>
      </c>
      <c r="F89" s="52" t="n">
        <f aca="false">D89</f>
        <v>187.5</v>
      </c>
      <c r="G89" s="14" t="s">
        <v>283</v>
      </c>
      <c r="I89" s="36" t="s">
        <v>204</v>
      </c>
      <c r="J89" s="53" t="n">
        <f aca="false">J94+J99</f>
        <v>22.9100074666667</v>
      </c>
    </row>
    <row r="90" customFormat="false" ht="15" hidden="false" customHeight="false" outlineLevel="0" collapsed="false">
      <c r="A90" s="14" t="s">
        <v>284</v>
      </c>
      <c r="B90" s="14" t="s">
        <v>285</v>
      </c>
      <c r="F90" s="36" t="s">
        <v>123</v>
      </c>
      <c r="G90" s="36" t="s">
        <v>286</v>
      </c>
      <c r="H90" s="36" t="s">
        <v>287</v>
      </c>
      <c r="I90" s="36" t="s">
        <v>288</v>
      </c>
      <c r="J90" s="36" t="s">
        <v>289</v>
      </c>
    </row>
    <row r="91" customFormat="false" ht="15" hidden="false" customHeight="false" outlineLevel="0" collapsed="false">
      <c r="B91" s="54" t="s">
        <v>290</v>
      </c>
    </row>
    <row r="92" customFormat="false" ht="15" hidden="false" customHeight="false" outlineLevel="0" collapsed="false">
      <c r="B92" s="1" t="s">
        <v>293</v>
      </c>
      <c r="F92" s="55" t="s">
        <v>292</v>
      </c>
      <c r="G92" s="56" t="n">
        <v>1</v>
      </c>
      <c r="H92" s="57" t="n">
        <f aca="false">G92*8/$D$89</f>
        <v>0.0426666666666667</v>
      </c>
      <c r="I92" s="1" t="n">
        <v>23.6</v>
      </c>
      <c r="J92" s="28" t="n">
        <f aca="false">H92*I92</f>
        <v>1.00693333333333</v>
      </c>
    </row>
    <row r="93" customFormat="false" ht="15" hidden="false" customHeight="false" outlineLevel="0" collapsed="false">
      <c r="B93" s="1" t="s">
        <v>294</v>
      </c>
      <c r="F93" s="55" t="s">
        <v>292</v>
      </c>
      <c r="G93" s="56" t="n">
        <v>1</v>
      </c>
      <c r="H93" s="57" t="n">
        <f aca="false">G93*8/$D$89</f>
        <v>0.0426666666666667</v>
      </c>
      <c r="I93" s="1" t="n">
        <v>20.51</v>
      </c>
      <c r="J93" s="28" t="n">
        <f aca="false">H93*I93</f>
        <v>0.875093333333333</v>
      </c>
    </row>
    <row r="94" customFormat="false" ht="15" hidden="false" customHeight="false" outlineLevel="0" collapsed="false">
      <c r="F94" s="55"/>
      <c r="G94" s="56"/>
      <c r="H94" s="57"/>
      <c r="J94" s="53" t="n">
        <f aca="false">SUM(J92:J93)</f>
        <v>1.88202666666667</v>
      </c>
    </row>
    <row r="95" customFormat="false" ht="15" hidden="false" customHeight="false" outlineLevel="0" collapsed="false">
      <c r="B95" s="54" t="s">
        <v>310</v>
      </c>
    </row>
    <row r="96" customFormat="false" ht="15" hidden="false" customHeight="false" outlineLevel="0" collapsed="false">
      <c r="B96" s="1" t="s">
        <v>311</v>
      </c>
      <c r="F96" s="55" t="s">
        <v>312</v>
      </c>
      <c r="H96" s="57" t="n">
        <v>3</v>
      </c>
      <c r="I96" s="28" t="n">
        <f aca="false">J94</f>
        <v>1.88202666666667</v>
      </c>
      <c r="J96" s="28" t="n">
        <f aca="false">H96%*I96</f>
        <v>0.0564608</v>
      </c>
    </row>
    <row r="97" customFormat="false" ht="15" hidden="false" customHeight="false" outlineLevel="0" collapsed="false">
      <c r="B97" s="1" t="s">
        <v>662</v>
      </c>
      <c r="F97" s="55" t="s">
        <v>338</v>
      </c>
      <c r="G97" s="56" t="n">
        <v>1</v>
      </c>
      <c r="H97" s="57" t="n">
        <f aca="false">G97*8/$D$89</f>
        <v>0.0426666666666667</v>
      </c>
      <c r="I97" s="46" t="n">
        <v>118.64</v>
      </c>
      <c r="J97" s="28" t="n">
        <f aca="false">H97*I97</f>
        <v>5.06197333333333</v>
      </c>
    </row>
    <row r="98" customFormat="false" ht="15" hidden="false" customHeight="false" outlineLevel="0" collapsed="false">
      <c r="B98" s="1" t="s">
        <v>663</v>
      </c>
      <c r="F98" s="55" t="s">
        <v>338</v>
      </c>
      <c r="G98" s="56" t="n">
        <v>2</v>
      </c>
      <c r="H98" s="57" t="n">
        <f aca="false">G98*8/$D$89</f>
        <v>0.0853333333333333</v>
      </c>
      <c r="I98" s="46" t="n">
        <v>186.44</v>
      </c>
      <c r="J98" s="28" t="n">
        <f aca="false">H98*I98</f>
        <v>15.9095466666667</v>
      </c>
    </row>
    <row r="99" customFormat="false" ht="15" hidden="false" customHeight="false" outlineLevel="0" collapsed="false">
      <c r="A99" s="60"/>
      <c r="B99" s="60"/>
      <c r="C99" s="60"/>
      <c r="D99" s="60"/>
      <c r="E99" s="60"/>
      <c r="F99" s="60"/>
      <c r="G99" s="60"/>
      <c r="H99" s="60"/>
      <c r="I99" s="80"/>
      <c r="J99" s="61" t="n">
        <f aca="false">SUM(J96:J98)</f>
        <v>21.0279808</v>
      </c>
    </row>
    <row r="100" customFormat="false" ht="15" hidden="false" customHeight="false" outlineLevel="0" collapsed="false">
      <c r="I100" s="14"/>
      <c r="J100" s="53"/>
    </row>
    <row r="101" customFormat="false" ht="15" hidden="false" customHeight="false" outlineLevel="0" collapsed="false">
      <c r="A101" s="14" t="s">
        <v>278</v>
      </c>
      <c r="B101" s="14" t="str">
        <f aca="false">ESTRUCTURA!A11</f>
        <v>02.01.08</v>
      </c>
      <c r="C101" s="14" t="s">
        <v>473</v>
      </c>
      <c r="E101" s="14"/>
      <c r="F101" s="14"/>
      <c r="G101" s="14"/>
      <c r="H101" s="14"/>
      <c r="I101" s="14"/>
    </row>
    <row r="102" customFormat="false" ht="15" hidden="false" customHeight="false" outlineLevel="0" collapsed="false">
      <c r="A102" s="14" t="s">
        <v>279</v>
      </c>
      <c r="B102" s="14" t="s">
        <v>280</v>
      </c>
      <c r="C102" s="36" t="s">
        <v>281</v>
      </c>
      <c r="D102" s="52" t="n">
        <v>500</v>
      </c>
      <c r="E102" s="36" t="s">
        <v>282</v>
      </c>
      <c r="F102" s="52" t="n">
        <f aca="false">D102</f>
        <v>500</v>
      </c>
      <c r="G102" s="14" t="s">
        <v>283</v>
      </c>
      <c r="I102" s="36" t="s">
        <v>134</v>
      </c>
      <c r="J102" s="53" t="n">
        <f aca="false">J108+J114</f>
        <v>7.930344</v>
      </c>
    </row>
    <row r="103" customFormat="false" ht="15" hidden="false" customHeight="false" outlineLevel="0" collapsed="false">
      <c r="A103" s="14" t="s">
        <v>284</v>
      </c>
      <c r="B103" s="14" t="s">
        <v>285</v>
      </c>
      <c r="F103" s="36" t="s">
        <v>123</v>
      </c>
      <c r="G103" s="36" t="s">
        <v>286</v>
      </c>
      <c r="H103" s="36" t="s">
        <v>287</v>
      </c>
      <c r="I103" s="36" t="s">
        <v>288</v>
      </c>
      <c r="J103" s="36" t="s">
        <v>289</v>
      </c>
    </row>
    <row r="104" customFormat="false" ht="15" hidden="false" customHeight="false" outlineLevel="0" collapsed="false">
      <c r="B104" s="54" t="s">
        <v>290</v>
      </c>
    </row>
    <row r="105" customFormat="false" ht="15" hidden="false" customHeight="false" outlineLevel="0" collapsed="false">
      <c r="B105" s="1" t="s">
        <v>651</v>
      </c>
      <c r="F105" s="55" t="s">
        <v>292</v>
      </c>
      <c r="G105" s="56" t="n">
        <v>1</v>
      </c>
      <c r="H105" s="57" t="n">
        <f aca="false">G105*8/$D$102</f>
        <v>0.016</v>
      </c>
      <c r="I105" s="1" t="n">
        <v>34.73</v>
      </c>
      <c r="J105" s="28" t="n">
        <f aca="false">H105*I105</f>
        <v>0.55568</v>
      </c>
    </row>
    <row r="106" customFormat="false" ht="15" hidden="false" customHeight="false" outlineLevel="0" collapsed="false">
      <c r="B106" s="1" t="s">
        <v>293</v>
      </c>
      <c r="F106" s="55" t="s">
        <v>292</v>
      </c>
      <c r="G106" s="56" t="n">
        <v>1</v>
      </c>
      <c r="H106" s="57" t="n">
        <f aca="false">G106*8/$D$102</f>
        <v>0.016</v>
      </c>
      <c r="I106" s="1" t="n">
        <v>23.6</v>
      </c>
      <c r="J106" s="28" t="n">
        <f aca="false">H106*I106</f>
        <v>0.3776</v>
      </c>
    </row>
    <row r="107" customFormat="false" ht="15" hidden="false" customHeight="false" outlineLevel="0" collapsed="false">
      <c r="B107" s="1" t="s">
        <v>294</v>
      </c>
      <c r="F107" s="55" t="s">
        <v>292</v>
      </c>
      <c r="G107" s="56" t="n">
        <v>3</v>
      </c>
      <c r="H107" s="57" t="n">
        <f aca="false">G107*8/$D$102</f>
        <v>0.048</v>
      </c>
      <c r="I107" s="1" t="n">
        <v>20.51</v>
      </c>
      <c r="J107" s="28" t="n">
        <f aca="false">H107*I107</f>
        <v>0.98448</v>
      </c>
    </row>
    <row r="108" customFormat="false" ht="15" hidden="false" customHeight="false" outlineLevel="0" collapsed="false">
      <c r="F108" s="55"/>
      <c r="J108" s="53" t="n">
        <f aca="false">SUM(J105:J107)</f>
        <v>1.91776</v>
      </c>
    </row>
    <row r="109" customFormat="false" ht="15" hidden="false" customHeight="false" outlineLevel="0" collapsed="false">
      <c r="B109" s="54" t="s">
        <v>318</v>
      </c>
      <c r="F109" s="55"/>
      <c r="G109" s="56"/>
    </row>
    <row r="110" customFormat="false" ht="15" hidden="false" customHeight="false" outlineLevel="0" collapsed="false">
      <c r="B110" s="1" t="s">
        <v>311</v>
      </c>
      <c r="F110" s="55" t="s">
        <v>312</v>
      </c>
      <c r="H110" s="57" t="n">
        <v>5</v>
      </c>
      <c r="I110" s="28" t="n">
        <f aca="false">J105</f>
        <v>0.55568</v>
      </c>
      <c r="J110" s="28" t="n">
        <f aca="false">H110%*I110</f>
        <v>0.027784</v>
      </c>
    </row>
    <row r="111" customFormat="false" ht="15" hidden="false" customHeight="false" outlineLevel="0" collapsed="false">
      <c r="B111" s="1" t="s">
        <v>657</v>
      </c>
      <c r="F111" s="55" t="s">
        <v>338</v>
      </c>
      <c r="G111" s="56" t="n">
        <v>1</v>
      </c>
      <c r="H111" s="57" t="n">
        <f aca="false">G111*8/$D$102</f>
        <v>0.016</v>
      </c>
      <c r="I111" s="1" t="n">
        <v>17.47</v>
      </c>
      <c r="J111" s="28" t="n">
        <f aca="false">H111*I111</f>
        <v>0.27952</v>
      </c>
    </row>
    <row r="112" customFormat="false" ht="15" hidden="false" customHeight="false" outlineLevel="0" collapsed="false">
      <c r="B112" s="1" t="s">
        <v>659</v>
      </c>
      <c r="F112" s="55" t="s">
        <v>338</v>
      </c>
      <c r="G112" s="56" t="n">
        <v>1</v>
      </c>
      <c r="H112" s="57" t="n">
        <f aca="false">G112*8/$D$102</f>
        <v>0.016</v>
      </c>
      <c r="I112" s="1" t="n">
        <v>136.06</v>
      </c>
      <c r="J112" s="28" t="n">
        <f aca="false">H112*I112</f>
        <v>2.17696</v>
      </c>
    </row>
    <row r="113" customFormat="false" ht="15" hidden="false" customHeight="false" outlineLevel="0" collapsed="false">
      <c r="B113" s="1" t="s">
        <v>660</v>
      </c>
      <c r="C113" s="81"/>
      <c r="D113" s="81"/>
      <c r="E113" s="81"/>
      <c r="F113" s="55" t="s">
        <v>338</v>
      </c>
      <c r="G113" s="56" t="n">
        <v>1</v>
      </c>
      <c r="H113" s="57" t="n">
        <f aca="false">G113*8/$D$102</f>
        <v>0.016</v>
      </c>
      <c r="I113" s="1" t="n">
        <v>220.52</v>
      </c>
      <c r="J113" s="28" t="n">
        <f aca="false">H113*I113</f>
        <v>3.52832</v>
      </c>
    </row>
    <row r="114" customFormat="false" ht="15" hidden="false" customHeight="false" outlineLevel="0" collapsed="false">
      <c r="A114" s="60"/>
      <c r="B114" s="60"/>
      <c r="C114" s="60"/>
      <c r="D114" s="60"/>
      <c r="E114" s="60"/>
      <c r="F114" s="60"/>
      <c r="G114" s="60"/>
      <c r="H114" s="60"/>
      <c r="I114" s="60"/>
      <c r="J114" s="61" t="n">
        <f aca="false">SUM(J110:J113)</f>
        <v>6.012584</v>
      </c>
    </row>
    <row r="115" customFormat="false" ht="15" hidden="false" customHeight="false" outlineLevel="0" collapsed="false">
      <c r="I115" s="14"/>
      <c r="J115" s="53"/>
    </row>
    <row r="116" customFormat="false" ht="15" hidden="false" customHeight="false" outlineLevel="0" collapsed="false">
      <c r="A116" s="14" t="s">
        <v>278</v>
      </c>
      <c r="B116" s="14" t="str">
        <f aca="false">ESTRUCTURA!A12</f>
        <v>02.01.09</v>
      </c>
      <c r="C116" s="14" t="s">
        <v>475</v>
      </c>
      <c r="D116" s="14"/>
      <c r="E116" s="14"/>
      <c r="F116" s="14"/>
      <c r="G116" s="14"/>
      <c r="H116" s="14"/>
      <c r="I116" s="14"/>
    </row>
    <row r="117" customFormat="false" ht="15" hidden="false" customHeight="false" outlineLevel="0" collapsed="false">
      <c r="A117" s="14" t="s">
        <v>279</v>
      </c>
      <c r="B117" s="14" t="s">
        <v>326</v>
      </c>
      <c r="C117" s="36" t="s">
        <v>281</v>
      </c>
      <c r="D117" s="52" t="n">
        <v>25</v>
      </c>
      <c r="E117" s="36" t="s">
        <v>282</v>
      </c>
      <c r="F117" s="52" t="n">
        <f aca="false">D117</f>
        <v>25</v>
      </c>
      <c r="G117" s="14" t="s">
        <v>283</v>
      </c>
      <c r="I117" s="36" t="s">
        <v>150</v>
      </c>
      <c r="J117" s="53" t="n">
        <f aca="false">J123+J127+J131</f>
        <v>77.2277048</v>
      </c>
    </row>
    <row r="118" customFormat="false" ht="15" hidden="false" customHeight="false" outlineLevel="0" collapsed="false">
      <c r="A118" s="14" t="s">
        <v>284</v>
      </c>
      <c r="B118" s="14" t="s">
        <v>285</v>
      </c>
      <c r="F118" s="36" t="s">
        <v>123</v>
      </c>
      <c r="G118" s="36" t="s">
        <v>286</v>
      </c>
      <c r="H118" s="36" t="s">
        <v>287</v>
      </c>
      <c r="I118" s="36" t="s">
        <v>288</v>
      </c>
      <c r="J118" s="36" t="s">
        <v>289</v>
      </c>
    </row>
    <row r="119" customFormat="false" ht="15" hidden="false" customHeight="false" outlineLevel="0" collapsed="false">
      <c r="B119" s="54" t="s">
        <v>290</v>
      </c>
    </row>
    <row r="120" customFormat="false" ht="15" hidden="false" customHeight="false" outlineLevel="0" collapsed="false">
      <c r="B120" s="1" t="s">
        <v>651</v>
      </c>
      <c r="F120" s="55" t="s">
        <v>292</v>
      </c>
      <c r="G120" s="56" t="n">
        <v>0.1</v>
      </c>
      <c r="H120" s="57" t="n">
        <f aca="false">G120*8/$D$117</f>
        <v>0.032</v>
      </c>
      <c r="I120" s="28" t="n">
        <v>34.73</v>
      </c>
      <c r="J120" s="28" t="n">
        <f aca="false">H120*I120</f>
        <v>1.11136</v>
      </c>
    </row>
    <row r="121" customFormat="false" ht="15" hidden="false" customHeight="false" outlineLevel="0" collapsed="false">
      <c r="B121" s="1" t="s">
        <v>664</v>
      </c>
      <c r="F121" s="55" t="s">
        <v>292</v>
      </c>
      <c r="G121" s="56" t="n">
        <v>1</v>
      </c>
      <c r="H121" s="57" t="n">
        <f aca="false">G121*8/$D$117</f>
        <v>0.32</v>
      </c>
      <c r="I121" s="28" t="n">
        <v>30.97</v>
      </c>
      <c r="J121" s="28" t="n">
        <f aca="false">H121*I121</f>
        <v>9.9104</v>
      </c>
    </row>
    <row r="122" customFormat="false" ht="15" hidden="false" customHeight="false" outlineLevel="0" collapsed="false">
      <c r="B122" s="1" t="s">
        <v>294</v>
      </c>
      <c r="F122" s="55" t="s">
        <v>292</v>
      </c>
      <c r="G122" s="56" t="n">
        <v>2</v>
      </c>
      <c r="H122" s="57" t="n">
        <f aca="false">G122*8/$D$117</f>
        <v>0.64</v>
      </c>
      <c r="I122" s="28" t="n">
        <v>20.51</v>
      </c>
      <c r="J122" s="28" t="n">
        <f aca="false">H122*I122</f>
        <v>13.1264</v>
      </c>
    </row>
    <row r="123" customFormat="false" ht="15" hidden="false" customHeight="false" outlineLevel="0" collapsed="false">
      <c r="F123" s="55"/>
      <c r="J123" s="53" t="n">
        <f aca="false">SUM(J120:J122)</f>
        <v>24.14816</v>
      </c>
    </row>
    <row r="124" customFormat="false" ht="15" hidden="false" customHeight="false" outlineLevel="0" collapsed="false">
      <c r="B124" s="54" t="s">
        <v>295</v>
      </c>
      <c r="F124" s="55"/>
      <c r="H124" s="57"/>
      <c r="I124" s="57"/>
    </row>
    <row r="125" customFormat="false" ht="15" hidden="false" customHeight="false" outlineLevel="0" collapsed="false">
      <c r="B125" s="1" t="s">
        <v>665</v>
      </c>
      <c r="F125" s="55" t="s">
        <v>204</v>
      </c>
      <c r="H125" s="57" t="n">
        <v>0.08</v>
      </c>
      <c r="I125" s="28" t="n">
        <v>6.14</v>
      </c>
      <c r="J125" s="28" t="n">
        <f aca="false">H125*I125</f>
        <v>0.4912</v>
      </c>
    </row>
    <row r="126" customFormat="false" ht="15" hidden="false" customHeight="false" outlineLevel="0" collapsed="false">
      <c r="B126" s="1" t="s">
        <v>655</v>
      </c>
      <c r="F126" s="55" t="s">
        <v>204</v>
      </c>
      <c r="H126" s="57" t="n">
        <v>1.05</v>
      </c>
      <c r="I126" s="28" t="n">
        <v>44.07</v>
      </c>
      <c r="J126" s="28" t="n">
        <f aca="false">H126*I126</f>
        <v>46.2735</v>
      </c>
    </row>
    <row r="127" customFormat="false" ht="15" hidden="false" customHeight="false" outlineLevel="0" collapsed="false">
      <c r="F127" s="55"/>
      <c r="H127" s="57"/>
      <c r="I127" s="57"/>
      <c r="J127" s="53" t="n">
        <f aca="false">SUM(J125:J126)</f>
        <v>46.7647</v>
      </c>
    </row>
    <row r="128" customFormat="false" ht="15" hidden="false" customHeight="false" outlineLevel="0" collapsed="false">
      <c r="B128" s="54" t="s">
        <v>318</v>
      </c>
      <c r="F128" s="55"/>
      <c r="G128" s="56"/>
    </row>
    <row r="129" customFormat="false" ht="15" hidden="false" customHeight="false" outlineLevel="0" collapsed="false">
      <c r="B129" s="1" t="s">
        <v>311</v>
      </c>
      <c r="F129" s="55" t="s">
        <v>312</v>
      </c>
      <c r="G129" s="56"/>
      <c r="H129" s="57" t="n">
        <v>3</v>
      </c>
      <c r="I129" s="28" t="n">
        <f aca="false">J123</f>
        <v>24.14816</v>
      </c>
      <c r="J129" s="28" t="n">
        <f aca="false">H129%*I129</f>
        <v>0.7244448</v>
      </c>
    </row>
    <row r="130" customFormat="false" ht="15" hidden="false" customHeight="false" outlineLevel="0" collapsed="false">
      <c r="B130" s="1" t="s">
        <v>657</v>
      </c>
      <c r="F130" s="55" t="s">
        <v>338</v>
      </c>
      <c r="G130" s="56" t="n">
        <v>1</v>
      </c>
      <c r="H130" s="57" t="n">
        <f aca="false">G130*8/$D$117</f>
        <v>0.32</v>
      </c>
      <c r="I130" s="28" t="n">
        <v>17.47</v>
      </c>
      <c r="J130" s="28" t="n">
        <f aca="false">H130*I130</f>
        <v>5.5904</v>
      </c>
    </row>
    <row r="131" customFormat="false" ht="15" hidden="false" customHeight="false" outlineLevel="0" collapsed="false">
      <c r="A131" s="60"/>
      <c r="B131" s="60"/>
      <c r="C131" s="60"/>
      <c r="D131" s="60"/>
      <c r="E131" s="60"/>
      <c r="F131" s="60"/>
      <c r="G131" s="60"/>
      <c r="H131" s="60"/>
      <c r="I131" s="60"/>
      <c r="J131" s="61" t="n">
        <f aca="false">SUM(J129:J130)</f>
        <v>6.3148448</v>
      </c>
    </row>
    <row r="132" customFormat="false" ht="15" hidden="false" customHeight="false" outlineLevel="0" collapsed="false">
      <c r="I132" s="14"/>
      <c r="J132" s="53"/>
    </row>
    <row r="133" customFormat="false" ht="15" hidden="false" customHeight="false" outlineLevel="0" collapsed="false">
      <c r="I133" s="14"/>
      <c r="J133" s="53"/>
    </row>
    <row r="134" customFormat="false" ht="15" hidden="false" customHeight="false" outlineLevel="0" collapsed="false">
      <c r="I134" s="14"/>
      <c r="J134" s="53"/>
    </row>
    <row r="135" customFormat="false" ht="15" hidden="false" customHeight="false" outlineLevel="0" collapsed="false">
      <c r="I135" s="14"/>
      <c r="J135" s="53"/>
    </row>
    <row r="136" customFormat="false" ht="15" hidden="false" customHeight="false" outlineLevel="0" collapsed="false">
      <c r="I136" s="14"/>
      <c r="J136" s="53"/>
    </row>
    <row r="137" customFormat="false" ht="15" hidden="false" customHeight="false" outlineLevel="0" collapsed="false">
      <c r="I137" s="14"/>
      <c r="J137" s="53"/>
    </row>
    <row r="138" customFormat="false" ht="15" hidden="false" customHeight="false" outlineLevel="0" collapsed="false">
      <c r="A138" s="82" t="s">
        <v>278</v>
      </c>
      <c r="B138" s="14" t="str">
        <f aca="false">ESTRUCTURA!A15</f>
        <v>02.02.01.01</v>
      </c>
      <c r="C138" s="83" t="s">
        <v>480</v>
      </c>
      <c r="D138" s="82"/>
    </row>
    <row r="139" customFormat="false" ht="15" hidden="false" customHeight="false" outlineLevel="0" collapsed="false">
      <c r="A139" s="82" t="s">
        <v>279</v>
      </c>
      <c r="B139" s="82" t="s">
        <v>280</v>
      </c>
      <c r="C139" s="84" t="s">
        <v>281</v>
      </c>
      <c r="D139" s="85" t="n">
        <v>50</v>
      </c>
      <c r="E139" s="84" t="s">
        <v>282</v>
      </c>
      <c r="F139" s="85" t="n">
        <f aca="false">D139</f>
        <v>50</v>
      </c>
      <c r="G139" s="82" t="s">
        <v>283</v>
      </c>
      <c r="I139" s="84" t="s">
        <v>134</v>
      </c>
      <c r="J139" s="86" t="n">
        <f aca="false">J147+J154+J158</f>
        <v>238.3435744</v>
      </c>
    </row>
    <row r="140" customFormat="false" ht="15" hidden="false" customHeight="false" outlineLevel="0" collapsed="false">
      <c r="A140" s="82" t="s">
        <v>284</v>
      </c>
      <c r="B140" s="82" t="s">
        <v>285</v>
      </c>
      <c r="F140" s="84" t="s">
        <v>123</v>
      </c>
      <c r="G140" s="84" t="s">
        <v>286</v>
      </c>
      <c r="H140" s="84" t="s">
        <v>287</v>
      </c>
      <c r="I140" s="84" t="s">
        <v>288</v>
      </c>
      <c r="J140" s="84" t="s">
        <v>289</v>
      </c>
    </row>
    <row r="141" customFormat="false" ht="15" hidden="false" customHeight="false" outlineLevel="0" collapsed="false">
      <c r="B141" s="87" t="s">
        <v>290</v>
      </c>
    </row>
    <row r="142" customFormat="false" ht="15" hidden="false" customHeight="false" outlineLevel="0" collapsed="false">
      <c r="B142" s="1" t="s">
        <v>651</v>
      </c>
      <c r="F142" s="55" t="s">
        <v>292</v>
      </c>
      <c r="G142" s="56" t="n">
        <v>0.1</v>
      </c>
      <c r="H142" s="57" t="n">
        <f aca="false">G142*8/$D$139</f>
        <v>0.016</v>
      </c>
      <c r="I142" s="1" t="n">
        <v>34.73</v>
      </c>
      <c r="J142" s="28" t="n">
        <f aca="false">H142*I142</f>
        <v>0.55568</v>
      </c>
    </row>
    <row r="143" customFormat="false" ht="15" hidden="false" customHeight="false" outlineLevel="0" collapsed="false">
      <c r="B143" s="1" t="s">
        <v>291</v>
      </c>
      <c r="F143" s="55" t="s">
        <v>292</v>
      </c>
      <c r="G143" s="56" t="n">
        <v>1</v>
      </c>
      <c r="H143" s="57" t="n">
        <f aca="false">G143*8/$D$139</f>
        <v>0.16</v>
      </c>
      <c r="I143" s="28" t="n">
        <v>28.94</v>
      </c>
      <c r="J143" s="28" t="n">
        <f aca="false">H143*I143</f>
        <v>4.6304</v>
      </c>
    </row>
    <row r="144" customFormat="false" ht="15" hidden="false" customHeight="false" outlineLevel="0" collapsed="false">
      <c r="B144" s="1" t="s">
        <v>293</v>
      </c>
      <c r="F144" s="55" t="s">
        <v>292</v>
      </c>
      <c r="G144" s="56" t="n">
        <v>2</v>
      </c>
      <c r="H144" s="57" t="n">
        <f aca="false">G144*8/$D$139</f>
        <v>0.32</v>
      </c>
      <c r="I144" s="28" t="n">
        <v>23.6</v>
      </c>
      <c r="J144" s="28" t="n">
        <f aca="false">H144*I144</f>
        <v>7.552</v>
      </c>
    </row>
    <row r="145" customFormat="false" ht="15" hidden="false" customHeight="false" outlineLevel="0" collapsed="false">
      <c r="B145" s="1" t="s">
        <v>294</v>
      </c>
      <c r="F145" s="55" t="s">
        <v>292</v>
      </c>
      <c r="G145" s="56" t="n">
        <v>5</v>
      </c>
      <c r="H145" s="57" t="n">
        <f aca="false">G145*8/$D$139</f>
        <v>0.8</v>
      </c>
      <c r="I145" s="28" t="n">
        <v>21.36</v>
      </c>
      <c r="J145" s="28" t="n">
        <f aca="false">H145*I145</f>
        <v>17.088</v>
      </c>
    </row>
    <row r="146" customFormat="false" ht="15" hidden="false" customHeight="false" outlineLevel="0" collapsed="false">
      <c r="B146" s="1" t="s">
        <v>653</v>
      </c>
      <c r="F146" s="55" t="s">
        <v>292</v>
      </c>
      <c r="G146" s="56" t="n">
        <v>1</v>
      </c>
      <c r="H146" s="57" t="n">
        <f aca="false">G146*8/$D$139</f>
        <v>0.16</v>
      </c>
      <c r="I146" s="1" t="n">
        <v>29.94</v>
      </c>
      <c r="J146" s="28" t="n">
        <f aca="false">H146*I146</f>
        <v>4.7904</v>
      </c>
    </row>
    <row r="147" customFormat="false" ht="15" hidden="false" customHeight="false" outlineLevel="0" collapsed="false">
      <c r="F147" s="55"/>
      <c r="G147" s="56"/>
      <c r="H147" s="57"/>
      <c r="J147" s="86" t="n">
        <f aca="false">SUM(J142:J146)</f>
        <v>34.61648</v>
      </c>
    </row>
    <row r="148" customFormat="false" ht="15" hidden="false" customHeight="false" outlineLevel="0" collapsed="false">
      <c r="B148" s="87" t="s">
        <v>654</v>
      </c>
      <c r="F148" s="55"/>
      <c r="G148" s="56"/>
      <c r="H148" s="57"/>
      <c r="J148" s="28"/>
    </row>
    <row r="149" customFormat="false" ht="15" hidden="false" customHeight="false" outlineLevel="0" collapsed="false">
      <c r="B149" s="1" t="s">
        <v>307</v>
      </c>
      <c r="F149" s="55" t="s">
        <v>308</v>
      </c>
      <c r="H149" s="57" t="n">
        <v>3.8</v>
      </c>
      <c r="I149" s="28" t="n">
        <v>24.52</v>
      </c>
      <c r="J149" s="28" t="n">
        <f aca="false">H149*I149</f>
        <v>93.176</v>
      </c>
    </row>
    <row r="150" customFormat="false" ht="15" hidden="false" customHeight="false" outlineLevel="0" collapsed="false">
      <c r="B150" s="1" t="s">
        <v>656</v>
      </c>
      <c r="F150" s="55" t="s">
        <v>204</v>
      </c>
      <c r="H150" s="57" t="n">
        <v>0.08</v>
      </c>
      <c r="I150" s="1" t="n">
        <v>6.14</v>
      </c>
      <c r="J150" s="28" t="n">
        <f aca="false">H150*I150</f>
        <v>0.4912</v>
      </c>
    </row>
    <row r="151" customFormat="false" ht="15" hidden="false" customHeight="false" outlineLevel="0" collapsed="false">
      <c r="B151" s="1" t="s">
        <v>666</v>
      </c>
      <c r="F151" s="55" t="s">
        <v>440</v>
      </c>
      <c r="H151" s="57" t="n">
        <v>0.5</v>
      </c>
      <c r="I151" s="1" t="n">
        <v>13.93</v>
      </c>
      <c r="J151" s="28" t="n">
        <f aca="false">H151*I151</f>
        <v>6.965</v>
      </c>
    </row>
    <row r="152" customFormat="false" ht="15" hidden="false" customHeight="false" outlineLevel="0" collapsed="false">
      <c r="B152" s="1" t="s">
        <v>303</v>
      </c>
      <c r="F152" s="55" t="s">
        <v>204</v>
      </c>
      <c r="H152" s="57" t="n">
        <v>0.93</v>
      </c>
      <c r="I152" s="88" t="n">
        <v>70.92</v>
      </c>
      <c r="J152" s="28" t="n">
        <f aca="false">H152*I152</f>
        <v>65.9556</v>
      </c>
    </row>
    <row r="153" customFormat="false" ht="15" hidden="false" customHeight="false" outlineLevel="0" collapsed="false">
      <c r="B153" s="1" t="s">
        <v>667</v>
      </c>
      <c r="F153" s="55" t="s">
        <v>204</v>
      </c>
      <c r="H153" s="57" t="n">
        <v>0.4</v>
      </c>
      <c r="I153" s="88" t="n">
        <v>80</v>
      </c>
      <c r="J153" s="28" t="n">
        <f aca="false">H153*I153</f>
        <v>32</v>
      </c>
    </row>
    <row r="154" customFormat="false" ht="15" hidden="false" customHeight="false" outlineLevel="0" collapsed="false">
      <c r="F154" s="55"/>
      <c r="H154" s="57"/>
      <c r="I154" s="28"/>
      <c r="J154" s="86" t="n">
        <f aca="false">SUM(J149:J153)</f>
        <v>198.5878</v>
      </c>
    </row>
    <row r="155" customFormat="false" ht="15" hidden="false" customHeight="false" outlineLevel="0" collapsed="false">
      <c r="B155" s="87" t="s">
        <v>310</v>
      </c>
    </row>
    <row r="156" customFormat="false" ht="15" hidden="false" customHeight="false" outlineLevel="0" collapsed="false">
      <c r="B156" s="1" t="s">
        <v>311</v>
      </c>
      <c r="F156" s="55" t="s">
        <v>312</v>
      </c>
      <c r="H156" s="57" t="n">
        <v>3</v>
      </c>
      <c r="I156" s="28" t="n">
        <f aca="false">J147</f>
        <v>34.61648</v>
      </c>
      <c r="J156" s="28" t="n">
        <f aca="false">H156%*I156</f>
        <v>1.0384944</v>
      </c>
    </row>
    <row r="157" customFormat="false" ht="15" hidden="false" customHeight="false" outlineLevel="0" collapsed="false">
      <c r="B157" s="1" t="s">
        <v>668</v>
      </c>
      <c r="F157" s="55" t="s">
        <v>338</v>
      </c>
      <c r="G157" s="56" t="n">
        <v>1</v>
      </c>
      <c r="H157" s="57" t="n">
        <f aca="false">G157*8/$D$139</f>
        <v>0.16</v>
      </c>
      <c r="I157" s="28" t="n">
        <v>25.63</v>
      </c>
      <c r="J157" s="28" t="n">
        <f aca="false">H157*I157</f>
        <v>4.1008</v>
      </c>
    </row>
    <row r="158" customFormat="false" ht="15" hidden="false" customHeight="false" outlineLevel="0" collapsed="false">
      <c r="A158" s="60"/>
      <c r="B158" s="60"/>
      <c r="C158" s="60"/>
      <c r="D158" s="60"/>
      <c r="E158" s="60"/>
      <c r="F158" s="60"/>
      <c r="G158" s="60"/>
      <c r="H158" s="60"/>
      <c r="I158" s="60"/>
      <c r="J158" s="89" t="n">
        <f aca="false">SUM(J156:J157)</f>
        <v>5.1392944</v>
      </c>
    </row>
    <row r="160" customFormat="false" ht="15" hidden="false" customHeight="false" outlineLevel="0" collapsed="false">
      <c r="A160" s="82" t="s">
        <v>278</v>
      </c>
      <c r="B160" s="14" t="str">
        <f aca="false">ESTRUCTURA!A17</f>
        <v>02.02.02.01</v>
      </c>
      <c r="C160" s="82" t="s">
        <v>484</v>
      </c>
      <c r="D160" s="82"/>
    </row>
    <row r="161" customFormat="false" ht="15" hidden="false" customHeight="false" outlineLevel="0" collapsed="false">
      <c r="A161" s="82" t="s">
        <v>279</v>
      </c>
      <c r="B161" s="82" t="s">
        <v>280</v>
      </c>
      <c r="C161" s="84" t="s">
        <v>281</v>
      </c>
      <c r="D161" s="85" t="n">
        <v>50</v>
      </c>
      <c r="E161" s="84" t="s">
        <v>282</v>
      </c>
      <c r="F161" s="85" t="n">
        <f aca="false">D161</f>
        <v>50</v>
      </c>
      <c r="G161" s="82" t="s">
        <v>283</v>
      </c>
      <c r="I161" s="84" t="s">
        <v>134</v>
      </c>
      <c r="J161" s="86" t="n">
        <f aca="false">J169+J176+J180</f>
        <v>238.3435744</v>
      </c>
    </row>
    <row r="162" customFormat="false" ht="15" hidden="false" customHeight="false" outlineLevel="0" collapsed="false">
      <c r="A162" s="82" t="s">
        <v>284</v>
      </c>
      <c r="B162" s="82" t="s">
        <v>285</v>
      </c>
      <c r="F162" s="84" t="s">
        <v>123</v>
      </c>
      <c r="G162" s="84" t="s">
        <v>286</v>
      </c>
      <c r="H162" s="84" t="s">
        <v>287</v>
      </c>
      <c r="I162" s="84" t="s">
        <v>288</v>
      </c>
      <c r="J162" s="84" t="s">
        <v>289</v>
      </c>
    </row>
    <row r="163" customFormat="false" ht="15" hidden="false" customHeight="false" outlineLevel="0" collapsed="false">
      <c r="B163" s="87" t="s">
        <v>290</v>
      </c>
    </row>
    <row r="164" customFormat="false" ht="15" hidden="false" customHeight="false" outlineLevel="0" collapsed="false">
      <c r="B164" s="1" t="s">
        <v>651</v>
      </c>
      <c r="F164" s="55" t="s">
        <v>292</v>
      </c>
      <c r="G164" s="56" t="n">
        <v>0.1</v>
      </c>
      <c r="H164" s="57" t="n">
        <f aca="false">G164*8/$D$161</f>
        <v>0.016</v>
      </c>
      <c r="I164" s="1" t="n">
        <v>34.73</v>
      </c>
      <c r="J164" s="28" t="n">
        <f aca="false">H164*I164</f>
        <v>0.55568</v>
      </c>
    </row>
    <row r="165" customFormat="false" ht="15" hidden="false" customHeight="false" outlineLevel="0" collapsed="false">
      <c r="B165" s="1" t="s">
        <v>291</v>
      </c>
      <c r="F165" s="55" t="s">
        <v>292</v>
      </c>
      <c r="G165" s="56" t="n">
        <v>1</v>
      </c>
      <c r="H165" s="57" t="n">
        <f aca="false">G165*8/$D$161</f>
        <v>0.16</v>
      </c>
      <c r="I165" s="28" t="n">
        <v>28.94</v>
      </c>
      <c r="J165" s="28" t="n">
        <f aca="false">H165*I165</f>
        <v>4.6304</v>
      </c>
    </row>
    <row r="166" customFormat="false" ht="15" hidden="false" customHeight="false" outlineLevel="0" collapsed="false">
      <c r="B166" s="1" t="s">
        <v>293</v>
      </c>
      <c r="F166" s="55" t="s">
        <v>292</v>
      </c>
      <c r="G166" s="56" t="n">
        <v>2</v>
      </c>
      <c r="H166" s="57" t="n">
        <f aca="false">G166*8/$D$161</f>
        <v>0.32</v>
      </c>
      <c r="I166" s="28" t="n">
        <v>23.6</v>
      </c>
      <c r="J166" s="28" t="n">
        <f aca="false">H166*I166</f>
        <v>7.552</v>
      </c>
    </row>
    <row r="167" customFormat="false" ht="15" hidden="false" customHeight="false" outlineLevel="0" collapsed="false">
      <c r="B167" s="1" t="s">
        <v>294</v>
      </c>
      <c r="F167" s="55" t="s">
        <v>292</v>
      </c>
      <c r="G167" s="56" t="n">
        <v>5</v>
      </c>
      <c r="H167" s="57" t="n">
        <f aca="false">G167*8/$D$161</f>
        <v>0.8</v>
      </c>
      <c r="I167" s="28" t="n">
        <v>21.36</v>
      </c>
      <c r="J167" s="28" t="n">
        <f aca="false">H167*I167</f>
        <v>17.088</v>
      </c>
    </row>
    <row r="168" customFormat="false" ht="15" hidden="false" customHeight="false" outlineLevel="0" collapsed="false">
      <c r="B168" s="1" t="s">
        <v>653</v>
      </c>
      <c r="F168" s="55" t="s">
        <v>292</v>
      </c>
      <c r="G168" s="56" t="n">
        <v>1</v>
      </c>
      <c r="H168" s="57" t="n">
        <f aca="false">G168*8/$D$161</f>
        <v>0.16</v>
      </c>
      <c r="I168" s="1" t="n">
        <v>29.94</v>
      </c>
      <c r="J168" s="28" t="n">
        <f aca="false">H168*I168</f>
        <v>4.7904</v>
      </c>
    </row>
    <row r="169" customFormat="false" ht="15" hidden="false" customHeight="false" outlineLevel="0" collapsed="false">
      <c r="F169" s="55"/>
      <c r="G169" s="56"/>
      <c r="H169" s="57"/>
      <c r="J169" s="86" t="n">
        <f aca="false">SUM(J164:J168)</f>
        <v>34.61648</v>
      </c>
    </row>
    <row r="170" customFormat="false" ht="15" hidden="false" customHeight="false" outlineLevel="0" collapsed="false">
      <c r="B170" s="87" t="s">
        <v>654</v>
      </c>
      <c r="F170" s="55"/>
      <c r="G170" s="56"/>
      <c r="H170" s="57"/>
      <c r="J170" s="28"/>
    </row>
    <row r="171" customFormat="false" ht="15" hidden="false" customHeight="false" outlineLevel="0" collapsed="false">
      <c r="B171" s="1" t="s">
        <v>307</v>
      </c>
      <c r="F171" s="55" t="s">
        <v>308</v>
      </c>
      <c r="H171" s="57" t="n">
        <v>3.8</v>
      </c>
      <c r="I171" s="28" t="n">
        <v>24.52</v>
      </c>
      <c r="J171" s="28" t="n">
        <f aca="false">H171*I171</f>
        <v>93.176</v>
      </c>
    </row>
    <row r="172" customFormat="false" ht="15" hidden="false" customHeight="false" outlineLevel="0" collapsed="false">
      <c r="B172" s="1" t="s">
        <v>656</v>
      </c>
      <c r="F172" s="55" t="s">
        <v>204</v>
      </c>
      <c r="H172" s="57" t="n">
        <v>0.08</v>
      </c>
      <c r="I172" s="1" t="n">
        <v>6.14</v>
      </c>
      <c r="J172" s="28" t="n">
        <f aca="false">H172*I172</f>
        <v>0.4912</v>
      </c>
    </row>
    <row r="173" customFormat="false" ht="15" hidden="false" customHeight="false" outlineLevel="0" collapsed="false">
      <c r="B173" s="1" t="s">
        <v>666</v>
      </c>
      <c r="F173" s="55" t="s">
        <v>440</v>
      </c>
      <c r="H173" s="57" t="n">
        <v>0.5</v>
      </c>
      <c r="I173" s="1" t="n">
        <v>13.93</v>
      </c>
      <c r="J173" s="28" t="n">
        <f aca="false">H173*I173</f>
        <v>6.965</v>
      </c>
    </row>
    <row r="174" customFormat="false" ht="15" hidden="false" customHeight="false" outlineLevel="0" collapsed="false">
      <c r="B174" s="1" t="s">
        <v>303</v>
      </c>
      <c r="F174" s="55" t="s">
        <v>204</v>
      </c>
      <c r="H174" s="57" t="n">
        <v>0.93</v>
      </c>
      <c r="I174" s="88" t="n">
        <v>70.92</v>
      </c>
      <c r="J174" s="28" t="n">
        <f aca="false">H174*I174</f>
        <v>65.9556</v>
      </c>
    </row>
    <row r="175" customFormat="false" ht="15" hidden="false" customHeight="false" outlineLevel="0" collapsed="false">
      <c r="B175" s="1" t="s">
        <v>667</v>
      </c>
      <c r="F175" s="55" t="s">
        <v>204</v>
      </c>
      <c r="H175" s="57" t="n">
        <v>0.4</v>
      </c>
      <c r="I175" s="88" t="n">
        <v>80</v>
      </c>
      <c r="J175" s="28" t="n">
        <f aca="false">H175*I175</f>
        <v>32</v>
      </c>
    </row>
    <row r="176" customFormat="false" ht="15" hidden="false" customHeight="false" outlineLevel="0" collapsed="false">
      <c r="F176" s="55"/>
      <c r="H176" s="57"/>
      <c r="I176" s="28"/>
      <c r="J176" s="86" t="n">
        <f aca="false">SUM(J171:J175)</f>
        <v>198.5878</v>
      </c>
    </row>
    <row r="177" customFormat="false" ht="15" hidden="false" customHeight="false" outlineLevel="0" collapsed="false">
      <c r="B177" s="87" t="s">
        <v>310</v>
      </c>
    </row>
    <row r="178" customFormat="false" ht="15" hidden="false" customHeight="false" outlineLevel="0" collapsed="false">
      <c r="B178" s="1" t="s">
        <v>311</v>
      </c>
      <c r="F178" s="55" t="s">
        <v>312</v>
      </c>
      <c r="H178" s="57" t="n">
        <v>3</v>
      </c>
      <c r="I178" s="28" t="n">
        <f aca="false">J169</f>
        <v>34.61648</v>
      </c>
      <c r="J178" s="28" t="n">
        <f aca="false">H178%*I178</f>
        <v>1.0384944</v>
      </c>
    </row>
    <row r="179" customFormat="false" ht="15" hidden="false" customHeight="false" outlineLevel="0" collapsed="false">
      <c r="B179" s="1" t="s">
        <v>668</v>
      </c>
      <c r="F179" s="55" t="s">
        <v>338</v>
      </c>
      <c r="G179" s="56" t="n">
        <v>1</v>
      </c>
      <c r="H179" s="57" t="n">
        <f aca="false">G179*8/$D$161</f>
        <v>0.16</v>
      </c>
      <c r="I179" s="28" t="n">
        <v>25.63</v>
      </c>
      <c r="J179" s="28" t="n">
        <f aca="false">H179*I179</f>
        <v>4.1008</v>
      </c>
    </row>
    <row r="180" customFormat="false" ht="15" hidden="false" customHeight="false" outlineLevel="0" collapsed="false">
      <c r="A180" s="60"/>
      <c r="B180" s="60"/>
      <c r="C180" s="60"/>
      <c r="D180" s="60"/>
      <c r="E180" s="60"/>
      <c r="F180" s="60"/>
      <c r="G180" s="60"/>
      <c r="H180" s="60"/>
      <c r="I180" s="60"/>
      <c r="J180" s="89" t="n">
        <f aca="false">SUM(J178:J179)</f>
        <v>5.1392944</v>
      </c>
    </row>
    <row r="182" customFormat="false" ht="15" hidden="false" customHeight="false" outlineLevel="0" collapsed="false">
      <c r="A182" s="82" t="s">
        <v>278</v>
      </c>
      <c r="B182" s="82" t="str">
        <f aca="false">ESTRUCTURA!A19</f>
        <v>02.02.03.01</v>
      </c>
      <c r="C182" s="82" t="s">
        <v>669</v>
      </c>
      <c r="D182" s="82"/>
    </row>
    <row r="183" customFormat="false" ht="15" hidden="false" customHeight="false" outlineLevel="0" collapsed="false">
      <c r="A183" s="82" t="s">
        <v>279</v>
      </c>
      <c r="B183" s="82" t="s">
        <v>280</v>
      </c>
      <c r="C183" s="84" t="s">
        <v>281</v>
      </c>
      <c r="D183" s="85" t="n">
        <v>110</v>
      </c>
      <c r="E183" s="84" t="s">
        <v>282</v>
      </c>
      <c r="F183" s="85" t="n">
        <f aca="false">D183</f>
        <v>110</v>
      </c>
      <c r="G183" s="82" t="s">
        <v>283</v>
      </c>
      <c r="I183" s="84" t="s">
        <v>134</v>
      </c>
      <c r="J183" s="86" t="n">
        <f aca="false">J189+J195+J199</f>
        <v>39.6208818181818</v>
      </c>
    </row>
    <row r="184" customFormat="false" ht="15" hidden="false" customHeight="false" outlineLevel="0" collapsed="false">
      <c r="A184" s="82" t="s">
        <v>284</v>
      </c>
      <c r="B184" s="82" t="s">
        <v>285</v>
      </c>
      <c r="F184" s="84" t="s">
        <v>123</v>
      </c>
      <c r="G184" s="84" t="s">
        <v>286</v>
      </c>
      <c r="H184" s="84" t="s">
        <v>287</v>
      </c>
      <c r="I184" s="84" t="s">
        <v>288</v>
      </c>
      <c r="J184" s="84" t="s">
        <v>289</v>
      </c>
    </row>
    <row r="185" customFormat="false" ht="15" hidden="false" customHeight="false" outlineLevel="0" collapsed="false">
      <c r="B185" s="87" t="s">
        <v>290</v>
      </c>
    </row>
    <row r="186" customFormat="false" ht="15" hidden="false" customHeight="false" outlineLevel="0" collapsed="false">
      <c r="B186" s="1" t="s">
        <v>291</v>
      </c>
      <c r="F186" s="55" t="s">
        <v>292</v>
      </c>
      <c r="G186" s="56" t="n">
        <v>2</v>
      </c>
      <c r="H186" s="57" t="n">
        <f aca="false">G186*8/$D$183</f>
        <v>0.145454545454545</v>
      </c>
      <c r="I186" s="28" t="n">
        <v>28.94</v>
      </c>
      <c r="J186" s="28" t="n">
        <f aca="false">H186*I186</f>
        <v>4.20945454545455</v>
      </c>
    </row>
    <row r="187" customFormat="false" ht="15" hidden="false" customHeight="false" outlineLevel="0" collapsed="false">
      <c r="B187" s="1" t="s">
        <v>293</v>
      </c>
      <c r="F187" s="55" t="s">
        <v>292</v>
      </c>
      <c r="G187" s="56" t="n">
        <v>1</v>
      </c>
      <c r="H187" s="57" t="n">
        <f aca="false">G187*8/$D$183</f>
        <v>0.0727272727272727</v>
      </c>
      <c r="I187" s="28" t="n">
        <v>23.6</v>
      </c>
      <c r="J187" s="28" t="n">
        <f aca="false">H187*I187</f>
        <v>1.71636363636364</v>
      </c>
    </row>
    <row r="188" customFormat="false" ht="15" hidden="false" customHeight="false" outlineLevel="0" collapsed="false">
      <c r="B188" s="1" t="s">
        <v>294</v>
      </c>
      <c r="F188" s="55" t="s">
        <v>292</v>
      </c>
      <c r="G188" s="56" t="n">
        <v>6</v>
      </c>
      <c r="H188" s="57" t="n">
        <f aca="false">G188*8/$D$183</f>
        <v>0.436363636363636</v>
      </c>
      <c r="I188" s="28" t="n">
        <v>21.36</v>
      </c>
      <c r="J188" s="28" t="n">
        <f aca="false">H188*I188</f>
        <v>9.32072727272727</v>
      </c>
    </row>
    <row r="189" customFormat="false" ht="15" hidden="false" customHeight="false" outlineLevel="0" collapsed="false">
      <c r="F189" s="55"/>
      <c r="G189" s="56"/>
      <c r="H189" s="57"/>
      <c r="J189" s="86" t="n">
        <f aca="false">SUM(J186:J188)</f>
        <v>15.2465454545455</v>
      </c>
    </row>
    <row r="190" customFormat="false" ht="15" hidden="false" customHeight="false" outlineLevel="0" collapsed="false">
      <c r="B190" s="87" t="s">
        <v>654</v>
      </c>
      <c r="F190" s="55"/>
      <c r="G190" s="56"/>
      <c r="H190" s="57"/>
      <c r="J190" s="28"/>
    </row>
    <row r="191" customFormat="false" ht="15" hidden="false" customHeight="false" outlineLevel="0" collapsed="false">
      <c r="B191" s="1" t="s">
        <v>307</v>
      </c>
      <c r="F191" s="55" t="s">
        <v>308</v>
      </c>
      <c r="H191" s="57" t="n">
        <v>0.42</v>
      </c>
      <c r="I191" s="28" t="n">
        <v>24.52</v>
      </c>
      <c r="J191" s="28" t="n">
        <f aca="false">H191*I191</f>
        <v>10.2984</v>
      </c>
    </row>
    <row r="192" customFormat="false" ht="15" hidden="false" customHeight="false" outlineLevel="0" collapsed="false">
      <c r="B192" s="1" t="s">
        <v>656</v>
      </c>
      <c r="F192" s="55" t="s">
        <v>204</v>
      </c>
      <c r="H192" s="57" t="n">
        <v>0.025</v>
      </c>
      <c r="I192" s="1" t="n">
        <v>6.14</v>
      </c>
      <c r="J192" s="28" t="n">
        <f aca="false">H192*I192</f>
        <v>0.1535</v>
      </c>
    </row>
    <row r="193" customFormat="false" ht="15" hidden="false" customHeight="false" outlineLevel="0" collapsed="false">
      <c r="B193" s="1" t="s">
        <v>303</v>
      </c>
      <c r="F193" s="55" t="s">
        <v>204</v>
      </c>
      <c r="H193" s="57" t="n">
        <v>0.162</v>
      </c>
      <c r="I193" s="88" t="n">
        <v>70.92</v>
      </c>
      <c r="J193" s="28" t="n">
        <f aca="false">H193*I193</f>
        <v>11.48904</v>
      </c>
    </row>
    <row r="194" customFormat="false" ht="15" hidden="false" customHeight="false" outlineLevel="0" collapsed="false">
      <c r="B194" s="1" t="s">
        <v>670</v>
      </c>
      <c r="F194" s="55" t="s">
        <v>306</v>
      </c>
      <c r="H194" s="57" t="n">
        <v>0.18</v>
      </c>
      <c r="I194" s="28" t="n">
        <v>5.8</v>
      </c>
      <c r="J194" s="28" t="n">
        <f aca="false">H194*I194</f>
        <v>1.044</v>
      </c>
    </row>
    <row r="195" customFormat="false" ht="15" hidden="false" customHeight="false" outlineLevel="0" collapsed="false">
      <c r="F195" s="55"/>
      <c r="H195" s="57"/>
      <c r="I195" s="28"/>
      <c r="J195" s="86" t="n">
        <f aca="false">SUM(J191:J194)</f>
        <v>22.98494</v>
      </c>
    </row>
    <row r="196" customFormat="false" ht="15" hidden="false" customHeight="false" outlineLevel="0" collapsed="false">
      <c r="B196" s="87" t="s">
        <v>310</v>
      </c>
    </row>
    <row r="197" customFormat="false" ht="15" hidden="false" customHeight="false" outlineLevel="0" collapsed="false">
      <c r="B197" s="1" t="s">
        <v>311</v>
      </c>
      <c r="F197" s="55" t="s">
        <v>312</v>
      </c>
      <c r="H197" s="57" t="n">
        <v>3</v>
      </c>
      <c r="I197" s="28" t="n">
        <f aca="false">J189</f>
        <v>15.2465454545455</v>
      </c>
      <c r="J197" s="28" t="n">
        <f aca="false">H197%*I197</f>
        <v>0.457396363636364</v>
      </c>
    </row>
    <row r="198" customFormat="false" ht="15" hidden="false" customHeight="false" outlineLevel="0" collapsed="false">
      <c r="B198" s="1" t="s">
        <v>668</v>
      </c>
      <c r="F198" s="55" t="s">
        <v>338</v>
      </c>
      <c r="G198" s="56" t="n">
        <v>0.5</v>
      </c>
      <c r="H198" s="57" t="n">
        <f aca="false">G198*8/$D$183</f>
        <v>0.0363636363636364</v>
      </c>
      <c r="I198" s="28" t="n">
        <v>25.63</v>
      </c>
      <c r="J198" s="28" t="n">
        <f aca="false">H198*I198</f>
        <v>0.932</v>
      </c>
    </row>
    <row r="199" customFormat="false" ht="15" hidden="false" customHeight="false" outlineLevel="0" collapsed="false">
      <c r="A199" s="60"/>
      <c r="B199" s="60"/>
      <c r="C199" s="60"/>
      <c r="D199" s="60"/>
      <c r="E199" s="60"/>
      <c r="F199" s="60"/>
      <c r="G199" s="60"/>
      <c r="H199" s="60"/>
      <c r="I199" s="60"/>
      <c r="J199" s="89" t="n">
        <f aca="false">SUM(J197:J198)</f>
        <v>1.38939636363636</v>
      </c>
    </row>
    <row r="200" customFormat="false" ht="15" hidden="false" customHeight="false" outlineLevel="0" collapsed="false">
      <c r="J200" s="86"/>
    </row>
    <row r="201" customFormat="false" ht="15" hidden="false" customHeight="false" outlineLevel="0" collapsed="false">
      <c r="A201" s="83" t="s">
        <v>278</v>
      </c>
      <c r="B201" s="83" t="str">
        <f aca="false">ESTRUCTURA!A21</f>
        <v>02.02.04.01</v>
      </c>
      <c r="C201" s="83" t="s">
        <v>671</v>
      </c>
      <c r="D201" s="83"/>
      <c r="E201" s="83"/>
      <c r="F201" s="75"/>
      <c r="G201" s="75"/>
      <c r="H201" s="75"/>
      <c r="I201" s="75"/>
      <c r="J201" s="75"/>
    </row>
    <row r="202" customFormat="false" ht="15" hidden="false" customHeight="false" outlineLevel="0" collapsed="false">
      <c r="A202" s="83" t="s">
        <v>279</v>
      </c>
      <c r="B202" s="83" t="s">
        <v>280</v>
      </c>
      <c r="C202" s="83" t="s">
        <v>281</v>
      </c>
      <c r="D202" s="90" t="n">
        <v>120</v>
      </c>
      <c r="E202" s="90" t="s">
        <v>282</v>
      </c>
      <c r="F202" s="90" t="n">
        <f aca="false">D202</f>
        <v>120</v>
      </c>
      <c r="G202" s="90" t="s">
        <v>283</v>
      </c>
      <c r="H202" s="83"/>
      <c r="I202" s="83" t="s">
        <v>134</v>
      </c>
      <c r="J202" s="91" t="n">
        <f aca="false">J208+J214+J218</f>
        <v>27.126394</v>
      </c>
    </row>
    <row r="203" customFormat="false" ht="15" hidden="false" customHeight="false" outlineLevel="0" collapsed="false">
      <c r="A203" s="83" t="s">
        <v>284</v>
      </c>
      <c r="B203" s="83" t="s">
        <v>285</v>
      </c>
      <c r="C203" s="83"/>
      <c r="D203" s="92"/>
      <c r="E203" s="92"/>
      <c r="F203" s="90" t="s">
        <v>123</v>
      </c>
      <c r="G203" s="90" t="s">
        <v>286</v>
      </c>
      <c r="H203" s="83" t="s">
        <v>287</v>
      </c>
      <c r="I203" s="83" t="s">
        <v>288</v>
      </c>
      <c r="J203" s="83" t="s">
        <v>289</v>
      </c>
    </row>
    <row r="204" customFormat="false" ht="15" hidden="false" customHeight="false" outlineLevel="0" collapsed="false">
      <c r="A204" s="75"/>
      <c r="B204" s="93" t="s">
        <v>290</v>
      </c>
      <c r="C204" s="75"/>
      <c r="D204" s="92"/>
      <c r="E204" s="92"/>
      <c r="F204" s="92"/>
      <c r="G204" s="92"/>
      <c r="H204" s="75"/>
      <c r="I204" s="75"/>
      <c r="J204" s="75"/>
    </row>
    <row r="205" customFormat="false" ht="15" hidden="false" customHeight="false" outlineLevel="0" collapsed="false">
      <c r="A205" s="75"/>
      <c r="B205" s="75" t="s">
        <v>291</v>
      </c>
      <c r="C205" s="75"/>
      <c r="D205" s="92"/>
      <c r="E205" s="92"/>
      <c r="F205" s="92" t="s">
        <v>292</v>
      </c>
      <c r="G205" s="92" t="n">
        <v>2</v>
      </c>
      <c r="H205" s="94" t="n">
        <f aca="false">G205*8/$D$202</f>
        <v>0.133333333333333</v>
      </c>
      <c r="I205" s="75" t="n">
        <v>28.94</v>
      </c>
      <c r="J205" s="95" t="n">
        <f aca="false">H205*I205</f>
        <v>3.85866666666667</v>
      </c>
    </row>
    <row r="206" customFormat="false" ht="15" hidden="false" customHeight="false" outlineLevel="0" collapsed="false">
      <c r="A206" s="75"/>
      <c r="B206" s="75" t="s">
        <v>293</v>
      </c>
      <c r="C206" s="75"/>
      <c r="D206" s="92"/>
      <c r="E206" s="92"/>
      <c r="F206" s="92" t="s">
        <v>292</v>
      </c>
      <c r="G206" s="92" t="n">
        <v>2</v>
      </c>
      <c r="H206" s="94" t="n">
        <f aca="false">G206*8/$D$202</f>
        <v>0.133333333333333</v>
      </c>
      <c r="I206" s="75" t="n">
        <v>23.6</v>
      </c>
      <c r="J206" s="95" t="n">
        <f aca="false">H206*I206</f>
        <v>3.14666666666667</v>
      </c>
    </row>
    <row r="207" customFormat="false" ht="15" hidden="false" customHeight="false" outlineLevel="0" collapsed="false">
      <c r="A207" s="75"/>
      <c r="B207" s="75" t="s">
        <v>294</v>
      </c>
      <c r="C207" s="75"/>
      <c r="D207" s="92"/>
      <c r="E207" s="92"/>
      <c r="F207" s="92" t="s">
        <v>292</v>
      </c>
      <c r="G207" s="92" t="n">
        <v>6</v>
      </c>
      <c r="H207" s="94" t="n">
        <f aca="false">G207*8/$D$202</f>
        <v>0.4</v>
      </c>
      <c r="I207" s="75" t="n">
        <v>21.36</v>
      </c>
      <c r="J207" s="95" t="n">
        <f aca="false">H207*I207</f>
        <v>8.544</v>
      </c>
    </row>
    <row r="208" customFormat="false" ht="15" hidden="false" customHeight="false" outlineLevel="0" collapsed="false">
      <c r="A208" s="75"/>
      <c r="B208" s="75"/>
      <c r="C208" s="75"/>
      <c r="D208" s="92"/>
      <c r="E208" s="92"/>
      <c r="F208" s="92"/>
      <c r="G208" s="92"/>
      <c r="H208" s="94"/>
      <c r="I208" s="75"/>
      <c r="J208" s="91" t="n">
        <f aca="false">SUM(J205:J207)</f>
        <v>15.5493333333333</v>
      </c>
    </row>
    <row r="209" customFormat="false" ht="15" hidden="false" customHeight="false" outlineLevel="0" collapsed="false">
      <c r="A209" s="75"/>
      <c r="B209" s="93" t="s">
        <v>654</v>
      </c>
      <c r="C209" s="75"/>
      <c r="D209" s="92"/>
      <c r="E209" s="92"/>
      <c r="F209" s="92"/>
      <c r="G209" s="92"/>
      <c r="H209" s="94"/>
      <c r="I209" s="75"/>
      <c r="J209" s="75"/>
    </row>
    <row r="210" customFormat="false" ht="15" hidden="false" customHeight="false" outlineLevel="0" collapsed="false">
      <c r="A210" s="75"/>
      <c r="B210" s="75" t="s">
        <v>307</v>
      </c>
      <c r="C210" s="75"/>
      <c r="D210" s="92"/>
      <c r="E210" s="92"/>
      <c r="F210" s="92" t="s">
        <v>308</v>
      </c>
      <c r="G210" s="92"/>
      <c r="H210" s="94" t="n">
        <v>0.19</v>
      </c>
      <c r="I210" s="75" t="n">
        <v>24.52</v>
      </c>
      <c r="J210" s="95" t="n">
        <f aca="false">H210*I210</f>
        <v>4.6588</v>
      </c>
    </row>
    <row r="211" customFormat="false" ht="15" hidden="false" customHeight="false" outlineLevel="0" collapsed="false">
      <c r="A211" s="75"/>
      <c r="B211" s="75" t="s">
        <v>656</v>
      </c>
      <c r="C211" s="75"/>
      <c r="D211" s="92"/>
      <c r="E211" s="92"/>
      <c r="F211" s="92" t="s">
        <v>204</v>
      </c>
      <c r="G211" s="92"/>
      <c r="H211" s="94" t="n">
        <v>0.0081</v>
      </c>
      <c r="I211" s="75" t="n">
        <v>6.14</v>
      </c>
      <c r="J211" s="95" t="n">
        <f aca="false">H211*I211</f>
        <v>0.049734</v>
      </c>
    </row>
    <row r="212" customFormat="false" ht="15" hidden="false" customHeight="false" outlineLevel="0" collapsed="false">
      <c r="A212" s="75"/>
      <c r="B212" s="75" t="s">
        <v>666</v>
      </c>
      <c r="C212" s="75"/>
      <c r="D212" s="92"/>
      <c r="E212" s="92"/>
      <c r="F212" s="92" t="s">
        <v>440</v>
      </c>
      <c r="G212" s="92"/>
      <c r="H212" s="94" t="n">
        <v>0.006</v>
      </c>
      <c r="I212" s="75" t="n">
        <v>13.93</v>
      </c>
      <c r="J212" s="95" t="n">
        <f aca="false">H212*I212</f>
        <v>0.08358</v>
      </c>
    </row>
    <row r="213" customFormat="false" ht="15" hidden="false" customHeight="false" outlineLevel="0" collapsed="false">
      <c r="A213" s="75"/>
      <c r="B213" s="75" t="s">
        <v>303</v>
      </c>
      <c r="C213" s="75"/>
      <c r="D213" s="92"/>
      <c r="E213" s="92"/>
      <c r="F213" s="92" t="s">
        <v>204</v>
      </c>
      <c r="G213" s="92"/>
      <c r="H213" s="94" t="n">
        <v>0.065</v>
      </c>
      <c r="I213" s="96" t="n">
        <v>70.92</v>
      </c>
      <c r="J213" s="95" t="n">
        <f aca="false">H213*I213</f>
        <v>4.6098</v>
      </c>
    </row>
    <row r="214" customFormat="false" ht="15" hidden="false" customHeight="false" outlineLevel="0" collapsed="false">
      <c r="A214" s="75"/>
      <c r="B214" s="75"/>
      <c r="C214" s="75"/>
      <c r="D214" s="92"/>
      <c r="E214" s="92"/>
      <c r="F214" s="92"/>
      <c r="G214" s="92"/>
      <c r="H214" s="94"/>
      <c r="I214" s="75"/>
      <c r="J214" s="91" t="n">
        <f aca="false">SUM(J210:J213)</f>
        <v>9.401914</v>
      </c>
    </row>
    <row r="215" customFormat="false" ht="15" hidden="false" customHeight="false" outlineLevel="0" collapsed="false">
      <c r="A215" s="75"/>
      <c r="B215" s="93" t="s">
        <v>310</v>
      </c>
      <c r="C215" s="75"/>
      <c r="D215" s="92"/>
      <c r="E215" s="92"/>
      <c r="F215" s="92"/>
      <c r="G215" s="92"/>
      <c r="H215" s="94"/>
      <c r="I215" s="75"/>
      <c r="J215" s="75"/>
    </row>
    <row r="216" customFormat="false" ht="15" hidden="false" customHeight="false" outlineLevel="0" collapsed="false">
      <c r="A216" s="75"/>
      <c r="B216" s="75" t="s">
        <v>311</v>
      </c>
      <c r="C216" s="75"/>
      <c r="D216" s="92"/>
      <c r="E216" s="92"/>
      <c r="F216" s="92" t="s">
        <v>312</v>
      </c>
      <c r="G216" s="92"/>
      <c r="H216" s="94" t="n">
        <v>3</v>
      </c>
      <c r="I216" s="95" t="n">
        <f aca="false">J208</f>
        <v>15.5493333333333</v>
      </c>
      <c r="J216" s="95" t="n">
        <f aca="false">H216%*I216</f>
        <v>0.46648</v>
      </c>
    </row>
    <row r="217" customFormat="false" ht="15" hidden="false" customHeight="false" outlineLevel="0" collapsed="false">
      <c r="A217" s="75"/>
      <c r="B217" s="75" t="s">
        <v>668</v>
      </c>
      <c r="C217" s="75"/>
      <c r="D217" s="92"/>
      <c r="E217" s="92"/>
      <c r="F217" s="92" t="s">
        <v>338</v>
      </c>
      <c r="G217" s="92" t="n">
        <v>1</v>
      </c>
      <c r="H217" s="94" t="n">
        <f aca="false">G217*8/$D$202</f>
        <v>0.0666666666666667</v>
      </c>
      <c r="I217" s="75" t="n">
        <v>25.63</v>
      </c>
      <c r="J217" s="95" t="n">
        <f aca="false">H217*I217</f>
        <v>1.70866666666667</v>
      </c>
    </row>
    <row r="218" customFormat="false" ht="15" hidden="false" customHeight="false" outlineLevel="0" collapsed="false">
      <c r="A218" s="97" t="s">
        <v>672</v>
      </c>
      <c r="B218" s="97" t="s">
        <v>672</v>
      </c>
      <c r="C218" s="97" t="s">
        <v>672</v>
      </c>
      <c r="D218" s="97" t="s">
        <v>672</v>
      </c>
      <c r="E218" s="97" t="s">
        <v>672</v>
      </c>
      <c r="F218" s="97" t="s">
        <v>672</v>
      </c>
      <c r="G218" s="97" t="s">
        <v>672</v>
      </c>
      <c r="H218" s="97" t="s">
        <v>672</v>
      </c>
      <c r="I218" s="97" t="s">
        <v>672</v>
      </c>
      <c r="J218" s="98" t="n">
        <f aca="false">SUM(J216:J217)</f>
        <v>2.17514666666667</v>
      </c>
    </row>
    <row r="219" customFormat="false" ht="15" hidden="false" customHeight="false" outlineLevel="0" collapsed="false">
      <c r="A219" s="75"/>
      <c r="B219" s="75"/>
      <c r="C219" s="75"/>
      <c r="D219" s="75"/>
      <c r="E219" s="75"/>
      <c r="F219" s="75"/>
      <c r="G219" s="75"/>
      <c r="H219" s="75"/>
      <c r="I219" s="75"/>
      <c r="J219" s="91"/>
    </row>
    <row r="220" customFormat="false" ht="15" hidden="false" customHeight="false" outlineLevel="0" collapsed="false">
      <c r="A220" s="82" t="s">
        <v>278</v>
      </c>
      <c r="B220" s="82" t="str">
        <f aca="false">ESTRUCTURA!A24</f>
        <v>02.03.01.01</v>
      </c>
      <c r="C220" s="82" t="s">
        <v>497</v>
      </c>
      <c r="D220" s="82"/>
    </row>
    <row r="221" customFormat="false" ht="15" hidden="false" customHeight="false" outlineLevel="0" collapsed="false">
      <c r="A221" s="82" t="s">
        <v>279</v>
      </c>
      <c r="B221" s="82" t="s">
        <v>417</v>
      </c>
      <c r="C221" s="84" t="s">
        <v>281</v>
      </c>
      <c r="D221" s="85" t="n">
        <v>25</v>
      </c>
      <c r="E221" s="84" t="s">
        <v>282</v>
      </c>
      <c r="F221" s="85" t="n">
        <f aca="false">D221</f>
        <v>25</v>
      </c>
      <c r="G221" s="82" t="s">
        <v>283</v>
      </c>
      <c r="I221" s="84" t="s">
        <v>204</v>
      </c>
      <c r="J221" s="86" t="n">
        <f aca="false">J227+J235+J240</f>
        <v>426.397544</v>
      </c>
    </row>
    <row r="222" customFormat="false" ht="15" hidden="false" customHeight="false" outlineLevel="0" collapsed="false">
      <c r="A222" s="82" t="s">
        <v>284</v>
      </c>
      <c r="B222" s="82" t="s">
        <v>285</v>
      </c>
      <c r="F222" s="84" t="s">
        <v>123</v>
      </c>
      <c r="G222" s="84" t="s">
        <v>286</v>
      </c>
      <c r="H222" s="84" t="s">
        <v>287</v>
      </c>
      <c r="I222" s="84" t="s">
        <v>288</v>
      </c>
      <c r="J222" s="84" t="s">
        <v>289</v>
      </c>
    </row>
    <row r="223" customFormat="false" ht="15" hidden="false" customHeight="false" outlineLevel="0" collapsed="false">
      <c r="B223" s="87" t="s">
        <v>290</v>
      </c>
    </row>
    <row r="224" customFormat="false" ht="15" hidden="false" customHeight="false" outlineLevel="0" collapsed="false">
      <c r="B224" s="1" t="s">
        <v>291</v>
      </c>
      <c r="F224" s="55" t="s">
        <v>292</v>
      </c>
      <c r="G224" s="56" t="n">
        <v>2</v>
      </c>
      <c r="H224" s="57" t="n">
        <f aca="false">G224*8/$D$221</f>
        <v>0.64</v>
      </c>
      <c r="I224" s="28" t="n">
        <v>28.94</v>
      </c>
      <c r="J224" s="28" t="n">
        <f aca="false">H224*I224</f>
        <v>18.5216</v>
      </c>
    </row>
    <row r="225" customFormat="false" ht="15" hidden="false" customHeight="false" outlineLevel="0" collapsed="false">
      <c r="B225" s="1" t="s">
        <v>293</v>
      </c>
      <c r="F225" s="55" t="s">
        <v>292</v>
      </c>
      <c r="G225" s="56" t="n">
        <v>2</v>
      </c>
      <c r="H225" s="57" t="n">
        <f aca="false">G225*8/$D$221</f>
        <v>0.64</v>
      </c>
      <c r="I225" s="28" t="n">
        <v>23.6</v>
      </c>
      <c r="J225" s="28" t="n">
        <f aca="false">H225*I225</f>
        <v>15.104</v>
      </c>
    </row>
    <row r="226" customFormat="false" ht="15" hidden="false" customHeight="false" outlineLevel="0" collapsed="false">
      <c r="B226" s="1" t="s">
        <v>294</v>
      </c>
      <c r="F226" s="55" t="s">
        <v>292</v>
      </c>
      <c r="G226" s="56" t="n">
        <v>6</v>
      </c>
      <c r="H226" s="57" t="n">
        <f aca="false">G226*8/$D$221</f>
        <v>1.92</v>
      </c>
      <c r="I226" s="28" t="n">
        <v>21.36</v>
      </c>
      <c r="J226" s="28" t="n">
        <f aca="false">H226*I226</f>
        <v>41.0112</v>
      </c>
    </row>
    <row r="227" customFormat="false" ht="15" hidden="false" customHeight="false" outlineLevel="0" collapsed="false">
      <c r="F227" s="55"/>
      <c r="G227" s="56"/>
      <c r="H227" s="57"/>
      <c r="J227" s="86" t="n">
        <f aca="false">SUM(J224:J226)</f>
        <v>74.6368</v>
      </c>
    </row>
    <row r="228" customFormat="false" ht="15" hidden="false" customHeight="false" outlineLevel="0" collapsed="false">
      <c r="B228" s="87" t="s">
        <v>654</v>
      </c>
      <c r="F228" s="55"/>
      <c r="G228" s="56"/>
      <c r="H228" s="57"/>
      <c r="J228" s="28"/>
    </row>
    <row r="229" customFormat="false" ht="15" hidden="false" customHeight="false" outlineLevel="0" collapsed="false">
      <c r="B229" s="1" t="s">
        <v>673</v>
      </c>
      <c r="F229" s="55" t="s">
        <v>204</v>
      </c>
      <c r="H229" s="57" t="n">
        <v>0.53</v>
      </c>
      <c r="I229" s="28" t="n">
        <v>55.08</v>
      </c>
      <c r="J229" s="28" t="n">
        <f aca="false">H229*I229</f>
        <v>29.1924</v>
      </c>
    </row>
    <row r="230" customFormat="false" ht="15" hidden="false" customHeight="false" outlineLevel="0" collapsed="false">
      <c r="B230" s="1" t="s">
        <v>674</v>
      </c>
      <c r="F230" s="55" t="s">
        <v>204</v>
      </c>
      <c r="H230" s="57" t="n">
        <v>0.52</v>
      </c>
      <c r="I230" s="28" t="n">
        <v>47</v>
      </c>
      <c r="J230" s="28" t="n">
        <f aca="false">H230*I230</f>
        <v>24.44</v>
      </c>
    </row>
    <row r="231" customFormat="false" ht="15" hidden="false" customHeight="false" outlineLevel="0" collapsed="false">
      <c r="B231" s="1" t="s">
        <v>307</v>
      </c>
      <c r="F231" s="55" t="s">
        <v>308</v>
      </c>
      <c r="H231" s="57" t="n">
        <v>9.73</v>
      </c>
      <c r="I231" s="28" t="n">
        <v>24.52</v>
      </c>
      <c r="J231" s="28" t="n">
        <f aca="false">H231*I231</f>
        <v>238.5796</v>
      </c>
    </row>
    <row r="232" customFormat="false" ht="15" hidden="false" customHeight="false" outlineLevel="0" collapsed="false">
      <c r="B232" s="1" t="s">
        <v>656</v>
      </c>
      <c r="F232" s="55" t="s">
        <v>204</v>
      </c>
      <c r="H232" s="57" t="n">
        <v>0.186</v>
      </c>
      <c r="I232" s="1" t="n">
        <v>6.14</v>
      </c>
      <c r="J232" s="28" t="n">
        <f aca="false">H232*I232</f>
        <v>1.14204</v>
      </c>
    </row>
    <row r="233" customFormat="false" ht="15" hidden="false" customHeight="false" outlineLevel="0" collapsed="false">
      <c r="B233" s="1" t="s">
        <v>666</v>
      </c>
      <c r="F233" s="55" t="s">
        <v>440</v>
      </c>
      <c r="H233" s="57" t="n">
        <v>0.36</v>
      </c>
      <c r="I233" s="1" t="n">
        <v>13.93</v>
      </c>
      <c r="J233" s="28" t="n">
        <f aca="false">H233*I233</f>
        <v>5.0148</v>
      </c>
    </row>
    <row r="234" customFormat="false" ht="15" hidden="false" customHeight="false" outlineLevel="0" collapsed="false">
      <c r="B234" s="1" t="s">
        <v>675</v>
      </c>
      <c r="F234" s="55" t="s">
        <v>440</v>
      </c>
      <c r="H234" s="57" t="n">
        <v>1.5</v>
      </c>
      <c r="I234" s="88" t="n">
        <v>27.88</v>
      </c>
      <c r="J234" s="28" t="n">
        <f aca="false">H234*I234</f>
        <v>41.82</v>
      </c>
    </row>
    <row r="235" customFormat="false" ht="15" hidden="false" customHeight="false" outlineLevel="0" collapsed="false">
      <c r="F235" s="55"/>
      <c r="H235" s="57"/>
      <c r="I235" s="28"/>
      <c r="J235" s="86" t="n">
        <f aca="false">SUM(J229:J234)</f>
        <v>340.18884</v>
      </c>
    </row>
    <row r="236" customFormat="false" ht="15" hidden="false" customHeight="false" outlineLevel="0" collapsed="false">
      <c r="B236" s="87" t="s">
        <v>310</v>
      </c>
    </row>
    <row r="237" customFormat="false" ht="15" hidden="false" customHeight="false" outlineLevel="0" collapsed="false">
      <c r="B237" s="1" t="s">
        <v>311</v>
      </c>
      <c r="F237" s="55" t="s">
        <v>312</v>
      </c>
      <c r="H237" s="57" t="n">
        <v>3</v>
      </c>
      <c r="I237" s="28" t="n">
        <f aca="false">J227</f>
        <v>74.6368</v>
      </c>
      <c r="J237" s="28" t="n">
        <f aca="false">H237%*I237</f>
        <v>2.239104</v>
      </c>
    </row>
    <row r="238" customFormat="false" ht="15" hidden="false" customHeight="false" outlineLevel="0" collapsed="false">
      <c r="B238" s="1" t="s">
        <v>668</v>
      </c>
      <c r="F238" s="55" t="s">
        <v>338</v>
      </c>
      <c r="G238" s="56" t="n">
        <v>1</v>
      </c>
      <c r="H238" s="57" t="n">
        <f aca="false">G238*8/$D$221</f>
        <v>0.32</v>
      </c>
      <c r="I238" s="28" t="n">
        <v>25.63</v>
      </c>
      <c r="J238" s="28" t="n">
        <f aca="false">H238*I238</f>
        <v>8.2016</v>
      </c>
    </row>
    <row r="239" customFormat="false" ht="15" hidden="false" customHeight="false" outlineLevel="0" collapsed="false">
      <c r="B239" s="1" t="s">
        <v>676</v>
      </c>
      <c r="F239" s="55" t="s">
        <v>338</v>
      </c>
      <c r="G239" s="56" t="n">
        <v>0.5</v>
      </c>
      <c r="H239" s="57" t="n">
        <f aca="false">G239*8/$D$221</f>
        <v>0.16</v>
      </c>
      <c r="I239" s="28" t="n">
        <v>7.07</v>
      </c>
      <c r="J239" s="28" t="n">
        <f aca="false">H239*I239</f>
        <v>1.1312</v>
      </c>
    </row>
    <row r="240" customFormat="false" ht="15" hidden="false" customHeight="false" outlineLevel="0" collapsed="false">
      <c r="A240" s="60"/>
      <c r="B240" s="60"/>
      <c r="C240" s="60"/>
      <c r="D240" s="60"/>
      <c r="E240" s="60"/>
      <c r="F240" s="60"/>
      <c r="G240" s="60"/>
      <c r="H240" s="60"/>
      <c r="I240" s="60"/>
      <c r="J240" s="89" t="n">
        <f aca="false">SUM(J237:J239)</f>
        <v>11.571904</v>
      </c>
    </row>
    <row r="242" customFormat="false" ht="15" hidden="false" customHeight="false" outlineLevel="0" collapsed="false">
      <c r="A242" s="82" t="s">
        <v>278</v>
      </c>
      <c r="B242" s="82"/>
      <c r="C242" s="82" t="s">
        <v>677</v>
      </c>
      <c r="D242" s="82"/>
    </row>
    <row r="243" customFormat="false" ht="15" hidden="false" customHeight="false" outlineLevel="0" collapsed="false">
      <c r="A243" s="82" t="s">
        <v>279</v>
      </c>
      <c r="B243" s="82" t="s">
        <v>280</v>
      </c>
      <c r="C243" s="84" t="s">
        <v>281</v>
      </c>
      <c r="D243" s="85" t="n">
        <v>8</v>
      </c>
      <c r="E243" s="84" t="s">
        <v>282</v>
      </c>
      <c r="F243" s="85" t="n">
        <f aca="false">D243</f>
        <v>8</v>
      </c>
      <c r="G243" s="82" t="s">
        <v>283</v>
      </c>
      <c r="I243" s="84" t="s">
        <v>134</v>
      </c>
      <c r="J243" s="86" t="n">
        <f aca="false">J248+J253+J256</f>
        <v>75.1142</v>
      </c>
    </row>
    <row r="244" customFormat="false" ht="15" hidden="false" customHeight="false" outlineLevel="0" collapsed="false">
      <c r="A244" s="82" t="s">
        <v>284</v>
      </c>
      <c r="B244" s="82" t="s">
        <v>285</v>
      </c>
      <c r="F244" s="84" t="s">
        <v>123</v>
      </c>
      <c r="G244" s="84" t="s">
        <v>286</v>
      </c>
      <c r="H244" s="84" t="s">
        <v>287</v>
      </c>
      <c r="I244" s="84" t="s">
        <v>288</v>
      </c>
      <c r="J244" s="84" t="s">
        <v>289</v>
      </c>
    </row>
    <row r="245" customFormat="false" ht="15" hidden="false" customHeight="false" outlineLevel="0" collapsed="false">
      <c r="B245" s="87" t="s">
        <v>290</v>
      </c>
    </row>
    <row r="246" customFormat="false" ht="15" hidden="false" customHeight="false" outlineLevel="0" collapsed="false">
      <c r="B246" s="1" t="s">
        <v>291</v>
      </c>
      <c r="F246" s="55" t="s">
        <v>292</v>
      </c>
      <c r="G246" s="56" t="n">
        <v>1</v>
      </c>
      <c r="H246" s="57" t="n">
        <f aca="false">G246*8/$D$243</f>
        <v>1</v>
      </c>
      <c r="I246" s="28" t="n">
        <v>28.94</v>
      </c>
      <c r="J246" s="28" t="n">
        <f aca="false">H246*I246</f>
        <v>28.94</v>
      </c>
    </row>
    <row r="247" customFormat="false" ht="15" hidden="false" customHeight="false" outlineLevel="0" collapsed="false">
      <c r="B247" s="1" t="s">
        <v>293</v>
      </c>
      <c r="F247" s="55" t="s">
        <v>292</v>
      </c>
      <c r="G247" s="56" t="n">
        <v>1</v>
      </c>
      <c r="H247" s="57" t="n">
        <f aca="false">G247*8/$D$243</f>
        <v>1</v>
      </c>
      <c r="I247" s="28" t="n">
        <v>23.6</v>
      </c>
      <c r="J247" s="28" t="n">
        <f aca="false">H247*I247</f>
        <v>23.6</v>
      </c>
    </row>
    <row r="248" customFormat="false" ht="15" hidden="false" customHeight="false" outlineLevel="0" collapsed="false">
      <c r="F248" s="55"/>
      <c r="G248" s="56"/>
      <c r="H248" s="57"/>
      <c r="J248" s="86" t="n">
        <f aca="false">SUM(J246:J247)</f>
        <v>52.54</v>
      </c>
    </row>
    <row r="249" customFormat="false" ht="15" hidden="false" customHeight="false" outlineLevel="0" collapsed="false">
      <c r="B249" s="87" t="s">
        <v>654</v>
      </c>
      <c r="F249" s="55"/>
      <c r="G249" s="56"/>
      <c r="H249" s="57"/>
      <c r="J249" s="28"/>
    </row>
    <row r="250" customFormat="false" ht="15" hidden="false" customHeight="false" outlineLevel="0" collapsed="false">
      <c r="B250" s="1" t="s">
        <v>678</v>
      </c>
      <c r="F250" s="55" t="s">
        <v>297</v>
      </c>
      <c r="H250" s="57" t="n">
        <v>0.26</v>
      </c>
      <c r="I250" s="28" t="n">
        <v>2.64</v>
      </c>
      <c r="J250" s="28" t="n">
        <f aca="false">H250*I250</f>
        <v>0.6864</v>
      </c>
    </row>
    <row r="251" customFormat="false" ht="15" hidden="false" customHeight="false" outlineLevel="0" collapsed="false">
      <c r="B251" s="1" t="s">
        <v>302</v>
      </c>
      <c r="F251" s="55" t="s">
        <v>297</v>
      </c>
      <c r="H251" s="57" t="n">
        <v>0.16</v>
      </c>
      <c r="I251" s="28" t="n">
        <v>5.51</v>
      </c>
      <c r="J251" s="28" t="n">
        <f aca="false">H251*I251</f>
        <v>0.8816</v>
      </c>
    </row>
    <row r="252" customFormat="false" ht="15" hidden="false" customHeight="false" outlineLevel="0" collapsed="false">
      <c r="B252" s="1" t="s">
        <v>670</v>
      </c>
      <c r="F252" s="55" t="s">
        <v>306</v>
      </c>
      <c r="H252" s="57" t="n">
        <v>3.35</v>
      </c>
      <c r="I252" s="28" t="n">
        <v>5.8</v>
      </c>
      <c r="J252" s="28" t="n">
        <f aca="false">H252*I252</f>
        <v>19.43</v>
      </c>
    </row>
    <row r="253" customFormat="false" ht="15" hidden="false" customHeight="false" outlineLevel="0" collapsed="false">
      <c r="F253" s="55"/>
      <c r="H253" s="57"/>
      <c r="I253" s="28"/>
      <c r="J253" s="86" t="n">
        <f aca="false">SUM(J250:J252)</f>
        <v>20.998</v>
      </c>
    </row>
    <row r="254" customFormat="false" ht="15" hidden="false" customHeight="false" outlineLevel="0" collapsed="false">
      <c r="B254" s="87" t="s">
        <v>310</v>
      </c>
    </row>
    <row r="255" customFormat="false" ht="15" hidden="false" customHeight="false" outlineLevel="0" collapsed="false">
      <c r="B255" s="1" t="s">
        <v>311</v>
      </c>
      <c r="F255" s="55" t="s">
        <v>312</v>
      </c>
      <c r="H255" s="57" t="n">
        <v>3</v>
      </c>
      <c r="I255" s="28" t="n">
        <f aca="false">J248</f>
        <v>52.54</v>
      </c>
      <c r="J255" s="28" t="n">
        <f aca="false">H255%*I255</f>
        <v>1.5762</v>
      </c>
    </row>
    <row r="256" customFormat="false" ht="15" hidden="false" customHeight="false" outlineLevel="0" collapsed="false">
      <c r="A256" s="60"/>
      <c r="B256" s="60"/>
      <c r="C256" s="60"/>
      <c r="D256" s="60"/>
      <c r="E256" s="60"/>
      <c r="F256" s="60"/>
      <c r="G256" s="60"/>
      <c r="H256" s="60"/>
      <c r="I256" s="60"/>
      <c r="J256" s="89" t="n">
        <f aca="false">SUM(J255)</f>
        <v>1.5762</v>
      </c>
    </row>
    <row r="259" customFormat="false" ht="15" hidden="false" customHeight="false" outlineLevel="0" collapsed="false">
      <c r="A259" s="82" t="s">
        <v>278</v>
      </c>
      <c r="B259" s="82" t="str">
        <f aca="false">ESTRUCTURA!A25</f>
        <v>02.03.01.02</v>
      </c>
      <c r="C259" s="82" t="s">
        <v>499</v>
      </c>
      <c r="D259" s="82"/>
    </row>
    <row r="260" customFormat="false" ht="15" hidden="false" customHeight="false" outlineLevel="0" collapsed="false">
      <c r="A260" s="82" t="s">
        <v>279</v>
      </c>
      <c r="B260" s="82" t="s">
        <v>679</v>
      </c>
      <c r="C260" s="84" t="s">
        <v>281</v>
      </c>
      <c r="D260" s="85" t="n">
        <v>250</v>
      </c>
      <c r="E260" s="84" t="s">
        <v>282</v>
      </c>
      <c r="F260" s="85" t="n">
        <f aca="false">D260</f>
        <v>250</v>
      </c>
      <c r="G260" s="82" t="s">
        <v>283</v>
      </c>
      <c r="I260" s="84" t="s">
        <v>297</v>
      </c>
      <c r="J260" s="86" t="n">
        <f aca="false">J265+J269+J273</f>
        <v>5.5639628445</v>
      </c>
    </row>
    <row r="261" customFormat="false" ht="15" hidden="false" customHeight="false" outlineLevel="0" collapsed="false">
      <c r="A261" s="82" t="s">
        <v>284</v>
      </c>
      <c r="B261" s="82" t="s">
        <v>285</v>
      </c>
      <c r="F261" s="84" t="s">
        <v>123</v>
      </c>
      <c r="G261" s="84" t="s">
        <v>286</v>
      </c>
      <c r="H261" s="84" t="s">
        <v>287</v>
      </c>
      <c r="I261" s="84" t="s">
        <v>288</v>
      </c>
      <c r="J261" s="84" t="s">
        <v>289</v>
      </c>
    </row>
    <row r="262" customFormat="false" ht="15" hidden="false" customHeight="false" outlineLevel="0" collapsed="false">
      <c r="B262" s="87" t="s">
        <v>290</v>
      </c>
      <c r="G262" s="56"/>
    </row>
    <row r="263" customFormat="false" ht="15" hidden="false" customHeight="false" outlineLevel="0" collapsed="false">
      <c r="B263" s="1" t="s">
        <v>291</v>
      </c>
      <c r="F263" s="55" t="s">
        <v>292</v>
      </c>
      <c r="G263" s="56" t="n">
        <v>1</v>
      </c>
      <c r="H263" s="99" t="n">
        <f aca="false">G263*8/$D$260</f>
        <v>0.032</v>
      </c>
      <c r="I263" s="28" t="n">
        <v>28.94</v>
      </c>
      <c r="J263" s="28" t="n">
        <f aca="false">H263*I263</f>
        <v>0.92608</v>
      </c>
    </row>
    <row r="264" customFormat="false" ht="15" hidden="false" customHeight="false" outlineLevel="0" collapsed="false">
      <c r="B264" s="1" t="s">
        <v>680</v>
      </c>
      <c r="F264" s="55" t="s">
        <v>292</v>
      </c>
      <c r="G264" s="56" t="n">
        <v>1</v>
      </c>
      <c r="H264" s="99" t="n">
        <f aca="false">G264*8/$D$260</f>
        <v>0.032</v>
      </c>
      <c r="I264" s="28" t="n">
        <v>23.6</v>
      </c>
      <c r="J264" s="28" t="n">
        <f aca="false">H264*I264</f>
        <v>0.7552</v>
      </c>
    </row>
    <row r="265" customFormat="false" ht="15" hidden="false" customHeight="false" outlineLevel="0" collapsed="false">
      <c r="F265" s="55"/>
      <c r="G265" s="56"/>
      <c r="J265" s="86" t="n">
        <f aca="false">SUM(J263:J264)</f>
        <v>1.68128</v>
      </c>
    </row>
    <row r="266" customFormat="false" ht="15" hidden="false" customHeight="false" outlineLevel="0" collapsed="false">
      <c r="B266" s="87" t="s">
        <v>295</v>
      </c>
      <c r="F266" s="55"/>
      <c r="G266" s="56"/>
      <c r="H266" s="99"/>
    </row>
    <row r="267" customFormat="false" ht="15" hidden="false" customHeight="false" outlineLevel="0" collapsed="false">
      <c r="B267" s="1" t="s">
        <v>296</v>
      </c>
      <c r="F267" s="55" t="s">
        <v>297</v>
      </c>
      <c r="G267" s="56"/>
      <c r="H267" s="99" t="n">
        <v>0.03</v>
      </c>
      <c r="I267" s="28" t="n">
        <v>2.64</v>
      </c>
      <c r="J267" s="28" t="n">
        <f aca="false">H267*I267</f>
        <v>0.0792</v>
      </c>
    </row>
    <row r="268" customFormat="false" ht="15" hidden="false" customHeight="false" outlineLevel="0" collapsed="false">
      <c r="B268" s="1" t="s">
        <v>681</v>
      </c>
      <c r="F268" s="55" t="s">
        <v>297</v>
      </c>
      <c r="G268" s="56"/>
      <c r="H268" s="99" t="n">
        <v>1.05</v>
      </c>
      <c r="I268" s="28" t="n">
        <f aca="false">1012.71*3.379/1000</f>
        <v>3.42194709</v>
      </c>
      <c r="J268" s="28" t="n">
        <f aca="false">H268*I268</f>
        <v>3.5930444445</v>
      </c>
    </row>
    <row r="269" customFormat="false" ht="15" hidden="false" customHeight="false" outlineLevel="0" collapsed="false">
      <c r="F269" s="55"/>
      <c r="G269" s="56"/>
      <c r="J269" s="86" t="n">
        <f aca="false">SUM(J267:J268)</f>
        <v>3.6722444445</v>
      </c>
    </row>
    <row r="270" customFormat="false" ht="15" hidden="false" customHeight="false" outlineLevel="0" collapsed="false">
      <c r="B270" s="87" t="s">
        <v>318</v>
      </c>
      <c r="F270" s="55"/>
      <c r="G270" s="56"/>
    </row>
    <row r="271" customFormat="false" ht="15" hidden="false" customHeight="false" outlineLevel="0" collapsed="false">
      <c r="B271" s="1" t="s">
        <v>311</v>
      </c>
      <c r="F271" s="55" t="s">
        <v>312</v>
      </c>
      <c r="H271" s="57" t="n">
        <v>3</v>
      </c>
      <c r="I271" s="28" t="n">
        <f aca="false">J265</f>
        <v>1.68128</v>
      </c>
      <c r="J271" s="28" t="n">
        <f aca="false">H271%*I271</f>
        <v>0.0504384</v>
      </c>
    </row>
    <row r="272" customFormat="false" ht="15" hidden="false" customHeight="false" outlineLevel="0" collapsed="false">
      <c r="B272" s="1" t="s">
        <v>682</v>
      </c>
      <c r="F272" s="55" t="s">
        <v>292</v>
      </c>
      <c r="G272" s="56" t="n">
        <v>1</v>
      </c>
      <c r="H272" s="99" t="n">
        <f aca="false">G272*8/$D$260</f>
        <v>0.032</v>
      </c>
      <c r="I272" s="46" t="n">
        <v>5</v>
      </c>
      <c r="J272" s="28" t="n">
        <f aca="false">H272*I272</f>
        <v>0.16</v>
      </c>
    </row>
    <row r="273" customFormat="false" ht="15" hidden="false" customHeight="false" outlineLevel="0" collapsed="false">
      <c r="A273" s="60"/>
      <c r="B273" s="60"/>
      <c r="C273" s="60"/>
      <c r="D273" s="60"/>
      <c r="E273" s="60"/>
      <c r="F273" s="60"/>
      <c r="G273" s="60"/>
      <c r="H273" s="60"/>
      <c r="I273" s="60"/>
      <c r="J273" s="89" t="n">
        <f aca="false">SUM(J271:J272)</f>
        <v>0.2104384</v>
      </c>
    </row>
    <row r="275" customFormat="false" ht="15" hidden="false" customHeight="false" outlineLevel="0" collapsed="false">
      <c r="A275" s="83" t="s">
        <v>278</v>
      </c>
      <c r="B275" s="82" t="str">
        <f aca="false">ESTRUCTURA!A27</f>
        <v>02.03.02.01</v>
      </c>
      <c r="C275" s="83" t="s">
        <v>683</v>
      </c>
      <c r="D275" s="83"/>
      <c r="E275" s="83"/>
      <c r="F275" s="83"/>
      <c r="G275" s="75"/>
      <c r="H275" s="75"/>
      <c r="I275" s="75"/>
      <c r="J275" s="75"/>
    </row>
    <row r="276" customFormat="false" ht="15" hidden="false" customHeight="false" outlineLevel="0" collapsed="false">
      <c r="A276" s="83" t="s">
        <v>279</v>
      </c>
      <c r="B276" s="83" t="s">
        <v>417</v>
      </c>
      <c r="C276" s="83" t="s">
        <v>281</v>
      </c>
      <c r="D276" s="90" t="n">
        <v>25</v>
      </c>
      <c r="E276" s="90" t="s">
        <v>282</v>
      </c>
      <c r="F276" s="90" t="n">
        <f aca="false">D276</f>
        <v>25</v>
      </c>
      <c r="G276" s="90" t="s">
        <v>283</v>
      </c>
      <c r="H276" s="83"/>
      <c r="I276" s="83" t="s">
        <v>204</v>
      </c>
      <c r="J276" s="91" t="n">
        <f aca="false">SUM(J282+J290+J295)</f>
        <v>426.397544</v>
      </c>
    </row>
    <row r="277" customFormat="false" ht="15" hidden="false" customHeight="false" outlineLevel="0" collapsed="false">
      <c r="A277" s="83" t="s">
        <v>284</v>
      </c>
      <c r="B277" s="83" t="s">
        <v>285</v>
      </c>
      <c r="C277" s="83"/>
      <c r="D277" s="92"/>
      <c r="E277" s="92"/>
      <c r="F277" s="90" t="s">
        <v>123</v>
      </c>
      <c r="G277" s="90" t="s">
        <v>286</v>
      </c>
      <c r="H277" s="83" t="s">
        <v>287</v>
      </c>
      <c r="I277" s="83" t="s">
        <v>288</v>
      </c>
      <c r="J277" s="83" t="s">
        <v>289</v>
      </c>
    </row>
    <row r="278" customFormat="false" ht="15" hidden="false" customHeight="false" outlineLevel="0" collapsed="false">
      <c r="A278" s="75"/>
      <c r="B278" s="93" t="s">
        <v>290</v>
      </c>
      <c r="C278" s="75"/>
      <c r="D278" s="92"/>
      <c r="E278" s="92"/>
      <c r="F278" s="92"/>
      <c r="G278" s="92"/>
      <c r="H278" s="75"/>
      <c r="I278" s="75"/>
      <c r="J278" s="75"/>
    </row>
    <row r="279" customFormat="false" ht="15" hidden="false" customHeight="false" outlineLevel="0" collapsed="false">
      <c r="A279" s="75"/>
      <c r="B279" s="75" t="s">
        <v>291</v>
      </c>
      <c r="C279" s="75"/>
      <c r="D279" s="92"/>
      <c r="E279" s="92"/>
      <c r="F279" s="92" t="s">
        <v>292</v>
      </c>
      <c r="G279" s="92" t="n">
        <v>2</v>
      </c>
      <c r="H279" s="94" t="n">
        <f aca="false">G279*8/$D$276</f>
        <v>0.64</v>
      </c>
      <c r="I279" s="95" t="n">
        <v>28.94</v>
      </c>
      <c r="J279" s="95" t="n">
        <f aca="false">H279*I279</f>
        <v>18.5216</v>
      </c>
    </row>
    <row r="280" customFormat="false" ht="15" hidden="false" customHeight="false" outlineLevel="0" collapsed="false">
      <c r="A280" s="75"/>
      <c r="B280" s="75" t="s">
        <v>293</v>
      </c>
      <c r="C280" s="75"/>
      <c r="D280" s="92"/>
      <c r="E280" s="92"/>
      <c r="F280" s="92" t="s">
        <v>292</v>
      </c>
      <c r="G280" s="92" t="n">
        <v>2</v>
      </c>
      <c r="H280" s="94" t="n">
        <f aca="false">G280*8/$D$276</f>
        <v>0.64</v>
      </c>
      <c r="I280" s="95" t="n">
        <v>23.6</v>
      </c>
      <c r="J280" s="95" t="n">
        <f aca="false">H280*I280</f>
        <v>15.104</v>
      </c>
    </row>
    <row r="281" customFormat="false" ht="15" hidden="false" customHeight="false" outlineLevel="0" collapsed="false">
      <c r="A281" s="75"/>
      <c r="B281" s="75" t="s">
        <v>294</v>
      </c>
      <c r="C281" s="75"/>
      <c r="D281" s="92"/>
      <c r="E281" s="92"/>
      <c r="F281" s="92" t="s">
        <v>292</v>
      </c>
      <c r="G281" s="92" t="n">
        <v>6</v>
      </c>
      <c r="H281" s="94" t="n">
        <f aca="false">G281*8/$D$276</f>
        <v>1.92</v>
      </c>
      <c r="I281" s="95" t="n">
        <v>21.36</v>
      </c>
      <c r="J281" s="95" t="n">
        <f aca="false">H281*I281</f>
        <v>41.0112</v>
      </c>
    </row>
    <row r="282" customFormat="false" ht="15" hidden="false" customHeight="false" outlineLevel="0" collapsed="false">
      <c r="A282" s="75"/>
      <c r="B282" s="75"/>
      <c r="C282" s="75"/>
      <c r="D282" s="92"/>
      <c r="E282" s="92"/>
      <c r="F282" s="92"/>
      <c r="G282" s="92"/>
      <c r="H282" s="94"/>
      <c r="I282" s="95"/>
      <c r="J282" s="91" t="n">
        <f aca="false">SUM(J279:J281)</f>
        <v>74.6368</v>
      </c>
    </row>
    <row r="283" customFormat="false" ht="15" hidden="false" customHeight="false" outlineLevel="0" collapsed="false">
      <c r="A283" s="75"/>
      <c r="B283" s="93" t="s">
        <v>654</v>
      </c>
      <c r="C283" s="75"/>
      <c r="D283" s="92"/>
      <c r="E283" s="92"/>
      <c r="F283" s="92"/>
      <c r="G283" s="92"/>
      <c r="H283" s="94"/>
      <c r="I283" s="95"/>
      <c r="J283" s="95"/>
    </row>
    <row r="284" customFormat="false" ht="15" hidden="false" customHeight="false" outlineLevel="0" collapsed="false">
      <c r="A284" s="75"/>
      <c r="B284" s="75" t="s">
        <v>673</v>
      </c>
      <c r="C284" s="75"/>
      <c r="D284" s="92"/>
      <c r="E284" s="92"/>
      <c r="F284" s="92" t="s">
        <v>204</v>
      </c>
      <c r="G284" s="92"/>
      <c r="H284" s="94" t="n">
        <v>0.53</v>
      </c>
      <c r="I284" s="95" t="n">
        <v>55.08</v>
      </c>
      <c r="J284" s="95" t="n">
        <f aca="false">H284*I284</f>
        <v>29.1924</v>
      </c>
    </row>
    <row r="285" customFormat="false" ht="15" hidden="false" customHeight="false" outlineLevel="0" collapsed="false">
      <c r="A285" s="75"/>
      <c r="B285" s="75" t="s">
        <v>674</v>
      </c>
      <c r="C285" s="75"/>
      <c r="D285" s="92"/>
      <c r="E285" s="92"/>
      <c r="F285" s="92" t="s">
        <v>204</v>
      </c>
      <c r="G285" s="92"/>
      <c r="H285" s="94" t="n">
        <v>0.52</v>
      </c>
      <c r="I285" s="95" t="n">
        <v>47</v>
      </c>
      <c r="J285" s="95" t="n">
        <f aca="false">H285*I285</f>
        <v>24.44</v>
      </c>
    </row>
    <row r="286" customFormat="false" ht="15" hidden="false" customHeight="false" outlineLevel="0" collapsed="false">
      <c r="A286" s="75"/>
      <c r="B286" s="75" t="s">
        <v>307</v>
      </c>
      <c r="C286" s="75"/>
      <c r="D286" s="92"/>
      <c r="E286" s="92"/>
      <c r="F286" s="92" t="s">
        <v>308</v>
      </c>
      <c r="G286" s="92"/>
      <c r="H286" s="94" t="n">
        <v>9.73</v>
      </c>
      <c r="I286" s="95" t="n">
        <v>24.52</v>
      </c>
      <c r="J286" s="95" t="n">
        <f aca="false">H286*I286</f>
        <v>238.5796</v>
      </c>
    </row>
    <row r="287" customFormat="false" ht="15" hidden="false" customHeight="false" outlineLevel="0" collapsed="false">
      <c r="A287" s="75"/>
      <c r="B287" s="75" t="s">
        <v>656</v>
      </c>
      <c r="C287" s="75"/>
      <c r="D287" s="92"/>
      <c r="E287" s="92"/>
      <c r="F287" s="92" t="s">
        <v>204</v>
      </c>
      <c r="G287" s="92"/>
      <c r="H287" s="94" t="n">
        <v>0.186</v>
      </c>
      <c r="I287" s="95" t="n">
        <v>6.14</v>
      </c>
      <c r="J287" s="95" t="n">
        <f aca="false">H287*I287</f>
        <v>1.14204</v>
      </c>
    </row>
    <row r="288" customFormat="false" ht="15" hidden="false" customHeight="false" outlineLevel="0" collapsed="false">
      <c r="A288" s="75"/>
      <c r="B288" s="75" t="s">
        <v>666</v>
      </c>
      <c r="C288" s="75"/>
      <c r="D288" s="92"/>
      <c r="E288" s="92"/>
      <c r="F288" s="92" t="s">
        <v>440</v>
      </c>
      <c r="G288" s="92"/>
      <c r="H288" s="94" t="n">
        <v>0.36</v>
      </c>
      <c r="I288" s="95" t="n">
        <v>13.93</v>
      </c>
      <c r="J288" s="95" t="n">
        <f aca="false">H288*I288</f>
        <v>5.0148</v>
      </c>
    </row>
    <row r="289" customFormat="false" ht="15" hidden="false" customHeight="false" outlineLevel="0" collapsed="false">
      <c r="A289" s="75"/>
      <c r="B289" s="75" t="s">
        <v>675</v>
      </c>
      <c r="C289" s="75"/>
      <c r="D289" s="92"/>
      <c r="E289" s="92"/>
      <c r="F289" s="92" t="s">
        <v>440</v>
      </c>
      <c r="G289" s="92"/>
      <c r="H289" s="94" t="n">
        <v>1.5</v>
      </c>
      <c r="I289" s="100" t="n">
        <v>27.88</v>
      </c>
      <c r="J289" s="95" t="n">
        <f aca="false">H289*I289</f>
        <v>41.82</v>
      </c>
    </row>
    <row r="290" customFormat="false" ht="15" hidden="false" customHeight="false" outlineLevel="0" collapsed="false">
      <c r="A290" s="75"/>
      <c r="B290" s="75"/>
      <c r="C290" s="75"/>
      <c r="D290" s="92"/>
      <c r="E290" s="92"/>
      <c r="F290" s="92"/>
      <c r="G290" s="92"/>
      <c r="H290" s="94"/>
      <c r="I290" s="95"/>
      <c r="J290" s="91" t="n">
        <f aca="false">SUM(J284:J289)</f>
        <v>340.18884</v>
      </c>
    </row>
    <row r="291" customFormat="false" ht="15" hidden="false" customHeight="false" outlineLevel="0" collapsed="false">
      <c r="A291" s="75"/>
      <c r="B291" s="93" t="s">
        <v>310</v>
      </c>
      <c r="C291" s="75"/>
      <c r="D291" s="92"/>
      <c r="E291" s="92"/>
      <c r="F291" s="92"/>
      <c r="G291" s="92"/>
      <c r="H291" s="94"/>
      <c r="I291" s="75"/>
      <c r="J291" s="75"/>
    </row>
    <row r="292" customFormat="false" ht="15" hidden="false" customHeight="false" outlineLevel="0" collapsed="false">
      <c r="A292" s="75"/>
      <c r="B292" s="75" t="s">
        <v>311</v>
      </c>
      <c r="C292" s="75"/>
      <c r="D292" s="92"/>
      <c r="E292" s="92"/>
      <c r="F292" s="92" t="s">
        <v>312</v>
      </c>
      <c r="G292" s="92"/>
      <c r="H292" s="94" t="n">
        <v>3</v>
      </c>
      <c r="I292" s="95" t="n">
        <f aca="false">J282</f>
        <v>74.6368</v>
      </c>
      <c r="J292" s="95" t="n">
        <f aca="false">H292%*I292</f>
        <v>2.239104</v>
      </c>
    </row>
    <row r="293" customFormat="false" ht="15" hidden="false" customHeight="false" outlineLevel="0" collapsed="false">
      <c r="A293" s="75"/>
      <c r="B293" s="75" t="s">
        <v>668</v>
      </c>
      <c r="C293" s="75"/>
      <c r="D293" s="92"/>
      <c r="E293" s="92"/>
      <c r="F293" s="92" t="s">
        <v>338</v>
      </c>
      <c r="G293" s="92" t="n">
        <v>1</v>
      </c>
      <c r="H293" s="94" t="n">
        <f aca="false">G293*8/$D$276</f>
        <v>0.32</v>
      </c>
      <c r="I293" s="75" t="n">
        <v>25.63</v>
      </c>
      <c r="J293" s="95" t="n">
        <f aca="false">H293*I293</f>
        <v>8.2016</v>
      </c>
    </row>
    <row r="294" customFormat="false" ht="15" hidden="false" customHeight="false" outlineLevel="0" collapsed="false">
      <c r="A294" s="75"/>
      <c r="B294" s="75" t="s">
        <v>676</v>
      </c>
      <c r="C294" s="75"/>
      <c r="D294" s="92"/>
      <c r="E294" s="92"/>
      <c r="F294" s="92" t="s">
        <v>338</v>
      </c>
      <c r="G294" s="92" t="n">
        <v>0.5</v>
      </c>
      <c r="H294" s="94" t="n">
        <f aca="false">G294*8/$D$276</f>
        <v>0.16</v>
      </c>
      <c r="I294" s="75" t="n">
        <v>7.07</v>
      </c>
      <c r="J294" s="95" t="n">
        <f aca="false">H294*I294</f>
        <v>1.1312</v>
      </c>
    </row>
    <row r="295" customFormat="false" ht="15" hidden="false" customHeight="false" outlineLevel="0" collapsed="false">
      <c r="A295" s="97" t="s">
        <v>672</v>
      </c>
      <c r="B295" s="97" t="s">
        <v>672</v>
      </c>
      <c r="C295" s="97" t="s">
        <v>672</v>
      </c>
      <c r="D295" s="97" t="s">
        <v>672</v>
      </c>
      <c r="E295" s="97" t="s">
        <v>672</v>
      </c>
      <c r="F295" s="97" t="s">
        <v>672</v>
      </c>
      <c r="G295" s="97" t="s">
        <v>672</v>
      </c>
      <c r="H295" s="97" t="s">
        <v>672</v>
      </c>
      <c r="I295" s="97" t="s">
        <v>672</v>
      </c>
      <c r="J295" s="98" t="n">
        <f aca="false">SUM(J292:J294)</f>
        <v>11.571904</v>
      </c>
    </row>
    <row r="297" customFormat="false" ht="15" hidden="false" customHeight="false" outlineLevel="0" collapsed="false">
      <c r="A297" s="83" t="s">
        <v>278</v>
      </c>
      <c r="B297" s="82" t="str">
        <f aca="false">ESTRUCTURA!A28</f>
        <v>02.03.02.02</v>
      </c>
      <c r="C297" s="83" t="s">
        <v>684</v>
      </c>
      <c r="D297" s="83"/>
      <c r="E297" s="83"/>
      <c r="F297" s="83"/>
      <c r="G297" s="75"/>
      <c r="H297" s="75"/>
      <c r="I297" s="75"/>
      <c r="J297" s="75"/>
    </row>
    <row r="298" customFormat="false" ht="15" hidden="false" customHeight="false" outlineLevel="0" collapsed="false">
      <c r="A298" s="83" t="s">
        <v>279</v>
      </c>
      <c r="B298" s="83" t="s">
        <v>280</v>
      </c>
      <c r="C298" s="83" t="s">
        <v>281</v>
      </c>
      <c r="D298" s="90" t="n">
        <v>8</v>
      </c>
      <c r="E298" s="90" t="s">
        <v>282</v>
      </c>
      <c r="F298" s="90" t="n">
        <f aca="false">D298</f>
        <v>8</v>
      </c>
      <c r="G298" s="90" t="s">
        <v>283</v>
      </c>
      <c r="H298" s="83"/>
      <c r="I298" s="83" t="s">
        <v>134</v>
      </c>
      <c r="J298" s="91" t="n">
        <f aca="false">J303+J308+J311</f>
        <v>453.9276</v>
      </c>
    </row>
    <row r="299" customFormat="false" ht="15" hidden="false" customHeight="false" outlineLevel="0" collapsed="false">
      <c r="A299" s="83" t="s">
        <v>284</v>
      </c>
      <c r="B299" s="83" t="s">
        <v>285</v>
      </c>
      <c r="C299" s="83"/>
      <c r="D299" s="92"/>
      <c r="E299" s="92"/>
      <c r="F299" s="90" t="s">
        <v>123</v>
      </c>
      <c r="G299" s="90" t="s">
        <v>286</v>
      </c>
      <c r="H299" s="83" t="s">
        <v>287</v>
      </c>
      <c r="I299" s="83" t="s">
        <v>288</v>
      </c>
      <c r="J299" s="83" t="s">
        <v>289</v>
      </c>
    </row>
    <row r="300" customFormat="false" ht="15" hidden="false" customHeight="false" outlineLevel="0" collapsed="false">
      <c r="A300" s="75"/>
      <c r="B300" s="93" t="s">
        <v>290</v>
      </c>
      <c r="C300" s="75"/>
      <c r="D300" s="92"/>
      <c r="E300" s="92"/>
      <c r="F300" s="92"/>
      <c r="G300" s="92"/>
      <c r="H300" s="75"/>
      <c r="I300" s="75"/>
      <c r="J300" s="75"/>
    </row>
    <row r="301" customFormat="false" ht="15" hidden="false" customHeight="false" outlineLevel="0" collapsed="false">
      <c r="A301" s="75"/>
      <c r="B301" s="75" t="s">
        <v>291</v>
      </c>
      <c r="C301" s="75"/>
      <c r="D301" s="92"/>
      <c r="E301" s="92"/>
      <c r="F301" s="92" t="s">
        <v>292</v>
      </c>
      <c r="G301" s="92" t="n">
        <v>1</v>
      </c>
      <c r="H301" s="94" t="n">
        <f aca="false">G301*$D$298</f>
        <v>8</v>
      </c>
      <c r="I301" s="95" t="n">
        <v>28.94</v>
      </c>
      <c r="J301" s="95" t="n">
        <f aca="false">H301*I301</f>
        <v>231.52</v>
      </c>
    </row>
    <row r="302" customFormat="false" ht="15" hidden="false" customHeight="false" outlineLevel="0" collapsed="false">
      <c r="A302" s="75"/>
      <c r="B302" s="75" t="s">
        <v>293</v>
      </c>
      <c r="C302" s="75"/>
      <c r="D302" s="92"/>
      <c r="E302" s="92"/>
      <c r="F302" s="92" t="s">
        <v>292</v>
      </c>
      <c r="G302" s="92" t="n">
        <v>1</v>
      </c>
      <c r="H302" s="94" t="n">
        <f aca="false">G302*$D$298</f>
        <v>8</v>
      </c>
      <c r="I302" s="95" t="n">
        <v>23.6</v>
      </c>
      <c r="J302" s="95" t="n">
        <f aca="false">H302*I302</f>
        <v>188.8</v>
      </c>
    </row>
    <row r="303" customFormat="false" ht="15" hidden="false" customHeight="false" outlineLevel="0" collapsed="false">
      <c r="A303" s="75"/>
      <c r="B303" s="75"/>
      <c r="C303" s="75"/>
      <c r="D303" s="92"/>
      <c r="E303" s="92"/>
      <c r="F303" s="92"/>
      <c r="G303" s="92"/>
      <c r="H303" s="94"/>
      <c r="I303" s="95"/>
      <c r="J303" s="91" t="n">
        <f aca="false">SUM(J301:J302)</f>
        <v>420.32</v>
      </c>
    </row>
    <row r="304" customFormat="false" ht="15" hidden="false" customHeight="false" outlineLevel="0" collapsed="false">
      <c r="A304" s="75"/>
      <c r="B304" s="93" t="s">
        <v>654</v>
      </c>
      <c r="C304" s="75"/>
      <c r="D304" s="92"/>
      <c r="E304" s="92"/>
      <c r="F304" s="92"/>
      <c r="G304" s="92"/>
      <c r="H304" s="94"/>
      <c r="I304" s="95"/>
      <c r="J304" s="75"/>
    </row>
    <row r="305" customFormat="false" ht="15" hidden="false" customHeight="false" outlineLevel="0" collapsed="false">
      <c r="A305" s="75"/>
      <c r="B305" s="75" t="s">
        <v>678</v>
      </c>
      <c r="C305" s="75"/>
      <c r="D305" s="92"/>
      <c r="E305" s="92"/>
      <c r="F305" s="92" t="s">
        <v>297</v>
      </c>
      <c r="G305" s="92"/>
      <c r="H305" s="94" t="n">
        <v>0.26</v>
      </c>
      <c r="I305" s="95" t="n">
        <v>2.64</v>
      </c>
      <c r="J305" s="95" t="n">
        <f aca="false">H305*I305</f>
        <v>0.6864</v>
      </c>
    </row>
    <row r="306" customFormat="false" ht="15" hidden="false" customHeight="false" outlineLevel="0" collapsed="false">
      <c r="A306" s="75"/>
      <c r="B306" s="75" t="s">
        <v>302</v>
      </c>
      <c r="C306" s="75"/>
      <c r="D306" s="92"/>
      <c r="E306" s="92"/>
      <c r="F306" s="92" t="s">
        <v>297</v>
      </c>
      <c r="G306" s="92"/>
      <c r="H306" s="94" t="n">
        <v>0.16</v>
      </c>
      <c r="I306" s="95" t="n">
        <v>5.51</v>
      </c>
      <c r="J306" s="95" t="n">
        <f aca="false">H306*I306</f>
        <v>0.8816</v>
      </c>
    </row>
    <row r="307" customFormat="false" ht="15" hidden="false" customHeight="false" outlineLevel="0" collapsed="false">
      <c r="A307" s="75"/>
      <c r="B307" s="75" t="s">
        <v>670</v>
      </c>
      <c r="C307" s="75"/>
      <c r="D307" s="92"/>
      <c r="E307" s="92"/>
      <c r="F307" s="92" t="s">
        <v>306</v>
      </c>
      <c r="G307" s="92"/>
      <c r="H307" s="94" t="n">
        <v>3.35</v>
      </c>
      <c r="I307" s="95" t="n">
        <v>5.8</v>
      </c>
      <c r="J307" s="95" t="n">
        <f aca="false">H307*I307</f>
        <v>19.43</v>
      </c>
    </row>
    <row r="308" customFormat="false" ht="15" hidden="false" customHeight="false" outlineLevel="0" collapsed="false">
      <c r="A308" s="75"/>
      <c r="B308" s="75"/>
      <c r="C308" s="75"/>
      <c r="D308" s="92"/>
      <c r="E308" s="92"/>
      <c r="F308" s="92"/>
      <c r="G308" s="92"/>
      <c r="H308" s="94"/>
      <c r="I308" s="95"/>
      <c r="J308" s="91" t="n">
        <f aca="false">SUM(J305:J307)</f>
        <v>20.998</v>
      </c>
    </row>
    <row r="309" customFormat="false" ht="15" hidden="false" customHeight="false" outlineLevel="0" collapsed="false">
      <c r="A309" s="75"/>
      <c r="B309" s="93" t="s">
        <v>310</v>
      </c>
      <c r="C309" s="75"/>
      <c r="D309" s="92"/>
      <c r="E309" s="92"/>
      <c r="F309" s="92"/>
      <c r="G309" s="92"/>
      <c r="H309" s="94"/>
      <c r="I309" s="75"/>
      <c r="J309" s="75"/>
    </row>
    <row r="310" customFormat="false" ht="15" hidden="false" customHeight="false" outlineLevel="0" collapsed="false">
      <c r="A310" s="75"/>
      <c r="B310" s="75" t="s">
        <v>311</v>
      </c>
      <c r="C310" s="75"/>
      <c r="D310" s="75"/>
      <c r="E310" s="75"/>
      <c r="F310" s="75" t="s">
        <v>312</v>
      </c>
      <c r="G310" s="75"/>
      <c r="H310" s="94" t="n">
        <v>3</v>
      </c>
      <c r="I310" s="75" t="n">
        <f aca="false">J303</f>
        <v>420.32</v>
      </c>
      <c r="J310" s="95" t="n">
        <f aca="false">H310%*I310</f>
        <v>12.6096</v>
      </c>
    </row>
    <row r="311" customFormat="false" ht="15" hidden="false" customHeight="false" outlineLevel="0" collapsed="false">
      <c r="A311" s="97" t="s">
        <v>672</v>
      </c>
      <c r="B311" s="97" t="s">
        <v>672</v>
      </c>
      <c r="C311" s="97" t="s">
        <v>672</v>
      </c>
      <c r="D311" s="97" t="s">
        <v>672</v>
      </c>
      <c r="E311" s="97" t="s">
        <v>672</v>
      </c>
      <c r="F311" s="97" t="s">
        <v>672</v>
      </c>
      <c r="G311" s="97" t="s">
        <v>672</v>
      </c>
      <c r="H311" s="101" t="s">
        <v>672</v>
      </c>
      <c r="I311" s="97" t="s">
        <v>672</v>
      </c>
      <c r="J311" s="98" t="n">
        <f aca="false">SUM(J310)</f>
        <v>12.6096</v>
      </c>
    </row>
    <row r="313" customFormat="false" ht="15" hidden="false" customHeight="false" outlineLevel="0" collapsed="false">
      <c r="A313" s="83" t="s">
        <v>278</v>
      </c>
      <c r="B313" s="82" t="str">
        <f aca="false">ESTRUCTURA!A29</f>
        <v>02.03.02.03</v>
      </c>
      <c r="C313" s="83" t="s">
        <v>507</v>
      </c>
      <c r="D313" s="83"/>
      <c r="E313" s="83"/>
      <c r="F313" s="83"/>
      <c r="G313" s="83"/>
      <c r="H313" s="75"/>
      <c r="I313" s="75"/>
      <c r="J313" s="75"/>
    </row>
    <row r="314" customFormat="false" ht="15" hidden="false" customHeight="false" outlineLevel="0" collapsed="false">
      <c r="A314" s="83" t="s">
        <v>279</v>
      </c>
      <c r="B314" s="83" t="s">
        <v>679</v>
      </c>
      <c r="C314" s="83" t="s">
        <v>281</v>
      </c>
      <c r="D314" s="90" t="n">
        <v>250</v>
      </c>
      <c r="E314" s="90" t="s">
        <v>282</v>
      </c>
      <c r="F314" s="90" t="n">
        <f aca="false">D314</f>
        <v>250</v>
      </c>
      <c r="G314" s="90" t="s">
        <v>283</v>
      </c>
      <c r="H314" s="83"/>
      <c r="I314" s="83" t="s">
        <v>297</v>
      </c>
      <c r="J314" s="91" t="n">
        <f aca="false">J319+J323+J327</f>
        <v>5.5639628445</v>
      </c>
    </row>
    <row r="315" customFormat="false" ht="15" hidden="false" customHeight="false" outlineLevel="0" collapsed="false">
      <c r="A315" s="83" t="s">
        <v>284</v>
      </c>
      <c r="B315" s="83" t="s">
        <v>285</v>
      </c>
      <c r="C315" s="83"/>
      <c r="D315" s="92"/>
      <c r="E315" s="92"/>
      <c r="F315" s="90" t="s">
        <v>123</v>
      </c>
      <c r="G315" s="90" t="s">
        <v>286</v>
      </c>
      <c r="H315" s="83" t="s">
        <v>287</v>
      </c>
      <c r="I315" s="83" t="s">
        <v>288</v>
      </c>
      <c r="J315" s="83" t="s">
        <v>289</v>
      </c>
    </row>
    <row r="316" customFormat="false" ht="15" hidden="false" customHeight="false" outlineLevel="0" collapsed="false">
      <c r="A316" s="75"/>
      <c r="B316" s="93" t="s">
        <v>290</v>
      </c>
      <c r="C316" s="75"/>
      <c r="D316" s="92"/>
      <c r="E316" s="92"/>
      <c r="F316" s="92"/>
      <c r="G316" s="92"/>
      <c r="H316" s="75"/>
      <c r="I316" s="75"/>
      <c r="J316" s="75"/>
    </row>
    <row r="317" customFormat="false" ht="15" hidden="false" customHeight="false" outlineLevel="0" collapsed="false">
      <c r="A317" s="75"/>
      <c r="B317" s="75" t="s">
        <v>291</v>
      </c>
      <c r="C317" s="75"/>
      <c r="D317" s="92"/>
      <c r="E317" s="92"/>
      <c r="F317" s="92" t="s">
        <v>292</v>
      </c>
      <c r="G317" s="92" t="n">
        <v>1</v>
      </c>
      <c r="H317" s="94" t="n">
        <f aca="false">G317*8/$D$314</f>
        <v>0.032</v>
      </c>
      <c r="I317" s="95" t="n">
        <v>28.94</v>
      </c>
      <c r="J317" s="95" t="n">
        <f aca="false">H317*I317</f>
        <v>0.92608</v>
      </c>
    </row>
    <row r="318" customFormat="false" ht="15" hidden="false" customHeight="false" outlineLevel="0" collapsed="false">
      <c r="A318" s="75"/>
      <c r="B318" s="75" t="s">
        <v>680</v>
      </c>
      <c r="C318" s="75"/>
      <c r="D318" s="92"/>
      <c r="E318" s="92"/>
      <c r="F318" s="92" t="s">
        <v>292</v>
      </c>
      <c r="G318" s="92" t="n">
        <v>1</v>
      </c>
      <c r="H318" s="94" t="n">
        <f aca="false">G318*8/$D$314</f>
        <v>0.032</v>
      </c>
      <c r="I318" s="95" t="n">
        <v>23.6</v>
      </c>
      <c r="J318" s="95" t="n">
        <f aca="false">H318*I318</f>
        <v>0.7552</v>
      </c>
    </row>
    <row r="319" customFormat="false" ht="15" hidden="false" customHeight="false" outlineLevel="0" collapsed="false">
      <c r="A319" s="75"/>
      <c r="B319" s="75"/>
      <c r="C319" s="75"/>
      <c r="D319" s="92"/>
      <c r="E319" s="92"/>
      <c r="F319" s="92"/>
      <c r="G319" s="92"/>
      <c r="H319" s="94"/>
      <c r="I319" s="95"/>
      <c r="J319" s="91" t="n">
        <f aca="false">SUM(J317:J318)</f>
        <v>1.68128</v>
      </c>
    </row>
    <row r="320" customFormat="false" ht="15" hidden="false" customHeight="false" outlineLevel="0" collapsed="false">
      <c r="A320" s="75"/>
      <c r="B320" s="93" t="s">
        <v>295</v>
      </c>
      <c r="C320" s="75"/>
      <c r="D320" s="92"/>
      <c r="E320" s="92"/>
      <c r="F320" s="92"/>
      <c r="G320" s="92"/>
      <c r="H320" s="94"/>
      <c r="I320" s="95"/>
      <c r="J320" s="75"/>
    </row>
    <row r="321" customFormat="false" ht="15" hidden="false" customHeight="false" outlineLevel="0" collapsed="false">
      <c r="A321" s="75"/>
      <c r="B321" s="75" t="s">
        <v>296</v>
      </c>
      <c r="C321" s="75"/>
      <c r="D321" s="92"/>
      <c r="E321" s="92"/>
      <c r="F321" s="92" t="s">
        <v>297</v>
      </c>
      <c r="G321" s="92"/>
      <c r="H321" s="94" t="n">
        <v>0.03</v>
      </c>
      <c r="I321" s="95" t="n">
        <v>2.64</v>
      </c>
      <c r="J321" s="95" t="n">
        <f aca="false">H321*I321</f>
        <v>0.0792</v>
      </c>
    </row>
    <row r="322" customFormat="false" ht="15" hidden="false" customHeight="false" outlineLevel="0" collapsed="false">
      <c r="A322" s="75"/>
      <c r="B322" s="75" t="s">
        <v>681</v>
      </c>
      <c r="C322" s="75"/>
      <c r="D322" s="92"/>
      <c r="E322" s="92"/>
      <c r="F322" s="92" t="s">
        <v>297</v>
      </c>
      <c r="G322" s="92"/>
      <c r="H322" s="94" t="n">
        <v>1.05</v>
      </c>
      <c r="I322" s="95" t="n">
        <f aca="false">1012.71*3.379/1000</f>
        <v>3.42194709</v>
      </c>
      <c r="J322" s="95" t="n">
        <f aca="false">H322*I322</f>
        <v>3.5930444445</v>
      </c>
    </row>
    <row r="323" customFormat="false" ht="15" hidden="false" customHeight="false" outlineLevel="0" collapsed="false">
      <c r="A323" s="75"/>
      <c r="B323" s="75"/>
      <c r="C323" s="75"/>
      <c r="D323" s="92"/>
      <c r="E323" s="92"/>
      <c r="F323" s="92"/>
      <c r="G323" s="92"/>
      <c r="H323" s="94"/>
      <c r="I323" s="95"/>
      <c r="J323" s="91" t="n">
        <f aca="false">SUM(J321:J322)</f>
        <v>3.6722444445</v>
      </c>
    </row>
    <row r="324" customFormat="false" ht="15" hidden="false" customHeight="false" outlineLevel="0" collapsed="false">
      <c r="A324" s="75"/>
      <c r="B324" s="93" t="s">
        <v>318</v>
      </c>
      <c r="C324" s="75"/>
      <c r="D324" s="92"/>
      <c r="E324" s="92"/>
      <c r="F324" s="92"/>
      <c r="G324" s="92"/>
      <c r="H324" s="94"/>
      <c r="I324" s="95"/>
      <c r="J324" s="75"/>
    </row>
    <row r="325" customFormat="false" ht="15" hidden="false" customHeight="false" outlineLevel="0" collapsed="false">
      <c r="A325" s="75"/>
      <c r="B325" s="75" t="s">
        <v>311</v>
      </c>
      <c r="C325" s="75"/>
      <c r="D325" s="92"/>
      <c r="E325" s="92"/>
      <c r="F325" s="92" t="s">
        <v>312</v>
      </c>
      <c r="G325" s="92"/>
      <c r="H325" s="94" t="n">
        <v>3</v>
      </c>
      <c r="I325" s="95" t="n">
        <f aca="false">J319</f>
        <v>1.68128</v>
      </c>
      <c r="J325" s="95" t="n">
        <f aca="false">H325%*I325</f>
        <v>0.0504384</v>
      </c>
    </row>
    <row r="326" customFormat="false" ht="15" hidden="false" customHeight="false" outlineLevel="0" collapsed="false">
      <c r="A326" s="75"/>
      <c r="B326" s="75" t="s">
        <v>682</v>
      </c>
      <c r="C326" s="75"/>
      <c r="D326" s="92"/>
      <c r="E326" s="92"/>
      <c r="F326" s="92" t="s">
        <v>292</v>
      </c>
      <c r="G326" s="92" t="n">
        <v>1</v>
      </c>
      <c r="H326" s="94" t="n">
        <f aca="false">G326*8/$D$314</f>
        <v>0.032</v>
      </c>
      <c r="I326" s="100" t="n">
        <v>5</v>
      </c>
      <c r="J326" s="95" t="n">
        <f aca="false">H326*I326</f>
        <v>0.16</v>
      </c>
    </row>
    <row r="327" customFormat="false" ht="15" hidden="false" customHeight="false" outlineLevel="0" collapsed="false">
      <c r="A327" s="97" t="s">
        <v>672</v>
      </c>
      <c r="B327" s="97" t="s">
        <v>672</v>
      </c>
      <c r="C327" s="97" t="s">
        <v>672</v>
      </c>
      <c r="D327" s="97" t="s">
        <v>672</v>
      </c>
      <c r="E327" s="97" t="s">
        <v>672</v>
      </c>
      <c r="F327" s="97" t="s">
        <v>672</v>
      </c>
      <c r="G327" s="97" t="s">
        <v>672</v>
      </c>
      <c r="H327" s="97" t="s">
        <v>672</v>
      </c>
      <c r="I327" s="97" t="s">
        <v>672</v>
      </c>
      <c r="J327" s="98" t="n">
        <f aca="false">SUM(J325:J326)</f>
        <v>0.2104384</v>
      </c>
    </row>
    <row r="329" customFormat="false" ht="15" hidden="false" customHeight="false" outlineLevel="0" collapsed="false">
      <c r="A329" s="82" t="s">
        <v>278</v>
      </c>
      <c r="B329" s="82" t="str">
        <f aca="false">ESTRUCTURA!A31</f>
        <v>02.03.03.01</v>
      </c>
      <c r="C329" s="82" t="s">
        <v>511</v>
      </c>
      <c r="D329" s="82"/>
    </row>
    <row r="330" customFormat="false" ht="15" hidden="false" customHeight="false" outlineLevel="0" collapsed="false">
      <c r="A330" s="82" t="s">
        <v>279</v>
      </c>
      <c r="B330" s="82" t="s">
        <v>417</v>
      </c>
      <c r="C330" s="84" t="s">
        <v>281</v>
      </c>
      <c r="D330" s="85" t="n">
        <v>20</v>
      </c>
      <c r="E330" s="84" t="s">
        <v>282</v>
      </c>
      <c r="F330" s="85" t="n">
        <f aca="false">D330</f>
        <v>20</v>
      </c>
      <c r="G330" s="82" t="s">
        <v>283</v>
      </c>
      <c r="I330" s="84" t="s">
        <v>204</v>
      </c>
      <c r="J330" s="86" t="n">
        <f aca="false">J336+J344+J349</f>
        <v>438.22652</v>
      </c>
    </row>
    <row r="331" customFormat="false" ht="15" hidden="false" customHeight="false" outlineLevel="0" collapsed="false">
      <c r="A331" s="82" t="s">
        <v>284</v>
      </c>
      <c r="B331" s="82" t="s">
        <v>285</v>
      </c>
      <c r="F331" s="84" t="s">
        <v>123</v>
      </c>
      <c r="G331" s="84" t="s">
        <v>286</v>
      </c>
      <c r="H331" s="84" t="s">
        <v>287</v>
      </c>
      <c r="I331" s="84" t="s">
        <v>288</v>
      </c>
      <c r="J331" s="84" t="s">
        <v>289</v>
      </c>
    </row>
    <row r="332" customFormat="false" ht="15" hidden="false" customHeight="false" outlineLevel="0" collapsed="false">
      <c r="B332" s="87" t="s">
        <v>290</v>
      </c>
    </row>
    <row r="333" customFormat="false" ht="15" hidden="false" customHeight="false" outlineLevel="0" collapsed="false">
      <c r="B333" s="1" t="s">
        <v>291</v>
      </c>
      <c r="F333" s="55" t="s">
        <v>292</v>
      </c>
      <c r="G333" s="56" t="n">
        <v>2</v>
      </c>
      <c r="H333" s="57" t="n">
        <f aca="false">G333*8/$D$330</f>
        <v>0.8</v>
      </c>
      <c r="I333" s="28" t="n">
        <v>28.94</v>
      </c>
      <c r="J333" s="28" t="n">
        <f aca="false">H333*I333</f>
        <v>23.152</v>
      </c>
    </row>
    <row r="334" customFormat="false" ht="15" hidden="false" customHeight="false" outlineLevel="0" collapsed="false">
      <c r="B334" s="1" t="s">
        <v>293</v>
      </c>
      <c r="F334" s="55" t="s">
        <v>292</v>
      </c>
      <c r="G334" s="56" t="n">
        <v>1</v>
      </c>
      <c r="H334" s="57" t="n">
        <f aca="false">G334*8/$D$330</f>
        <v>0.4</v>
      </c>
      <c r="I334" s="28" t="n">
        <v>23.6</v>
      </c>
      <c r="J334" s="28" t="n">
        <f aca="false">H334*I334</f>
        <v>9.44</v>
      </c>
    </row>
    <row r="335" customFormat="false" ht="15" hidden="false" customHeight="false" outlineLevel="0" collapsed="false">
      <c r="B335" s="1" t="s">
        <v>294</v>
      </c>
      <c r="F335" s="55" t="s">
        <v>292</v>
      </c>
      <c r="G335" s="56" t="n">
        <v>6</v>
      </c>
      <c r="H335" s="57" t="n">
        <f aca="false">G335*8/$D$330</f>
        <v>2.4</v>
      </c>
      <c r="I335" s="28" t="n">
        <v>21.36</v>
      </c>
      <c r="J335" s="28" t="n">
        <f aca="false">H335*I335</f>
        <v>51.264</v>
      </c>
    </row>
    <row r="336" customFormat="false" ht="15" hidden="false" customHeight="false" outlineLevel="0" collapsed="false">
      <c r="F336" s="55"/>
      <c r="G336" s="56"/>
      <c r="H336" s="57"/>
      <c r="J336" s="86" t="n">
        <f aca="false">SUM(J333:J335)</f>
        <v>83.856</v>
      </c>
    </row>
    <row r="337" customFormat="false" ht="15" hidden="false" customHeight="false" outlineLevel="0" collapsed="false">
      <c r="B337" s="87" t="s">
        <v>654</v>
      </c>
      <c r="F337" s="55"/>
      <c r="G337" s="56"/>
      <c r="H337" s="57"/>
      <c r="J337" s="28"/>
    </row>
    <row r="338" customFormat="false" ht="15" hidden="false" customHeight="false" outlineLevel="0" collapsed="false">
      <c r="B338" s="1" t="s">
        <v>673</v>
      </c>
      <c r="F338" s="55" t="s">
        <v>204</v>
      </c>
      <c r="H338" s="57" t="n">
        <v>0.53</v>
      </c>
      <c r="I338" s="28" t="n">
        <v>55.08</v>
      </c>
      <c r="J338" s="28" t="n">
        <f aca="false">H338*I338</f>
        <v>29.1924</v>
      </c>
    </row>
    <row r="339" customFormat="false" ht="15" hidden="false" customHeight="false" outlineLevel="0" collapsed="false">
      <c r="B339" s="1" t="s">
        <v>674</v>
      </c>
      <c r="F339" s="55" t="s">
        <v>204</v>
      </c>
      <c r="H339" s="57" t="n">
        <v>0.52</v>
      </c>
      <c r="I339" s="28" t="n">
        <v>47</v>
      </c>
      <c r="J339" s="28" t="n">
        <f aca="false">H339*I339</f>
        <v>24.44</v>
      </c>
    </row>
    <row r="340" customFormat="false" ht="15" hidden="false" customHeight="false" outlineLevel="0" collapsed="false">
      <c r="B340" s="1" t="s">
        <v>307</v>
      </c>
      <c r="F340" s="55" t="s">
        <v>308</v>
      </c>
      <c r="H340" s="57" t="n">
        <v>9.73</v>
      </c>
      <c r="I340" s="28" t="n">
        <v>24.52</v>
      </c>
      <c r="J340" s="28" t="n">
        <f aca="false">H340*I340</f>
        <v>238.5796</v>
      </c>
    </row>
    <row r="341" customFormat="false" ht="15" hidden="false" customHeight="false" outlineLevel="0" collapsed="false">
      <c r="B341" s="1" t="s">
        <v>656</v>
      </c>
      <c r="F341" s="55" t="s">
        <v>204</v>
      </c>
      <c r="H341" s="57" t="n">
        <v>0.186</v>
      </c>
      <c r="I341" s="1" t="n">
        <v>6.14</v>
      </c>
      <c r="J341" s="28" t="n">
        <f aca="false">H341*I341</f>
        <v>1.14204</v>
      </c>
    </row>
    <row r="342" customFormat="false" ht="15" hidden="false" customHeight="false" outlineLevel="0" collapsed="false">
      <c r="B342" s="1" t="s">
        <v>666</v>
      </c>
      <c r="F342" s="55" t="s">
        <v>440</v>
      </c>
      <c r="H342" s="57" t="n">
        <v>0.36</v>
      </c>
      <c r="I342" s="1" t="n">
        <v>13.93</v>
      </c>
      <c r="J342" s="28" t="n">
        <f aca="false">H342*I342</f>
        <v>5.0148</v>
      </c>
    </row>
    <row r="343" customFormat="false" ht="15" hidden="false" customHeight="false" outlineLevel="0" collapsed="false">
      <c r="B343" s="1" t="s">
        <v>675</v>
      </c>
      <c r="F343" s="55" t="s">
        <v>440</v>
      </c>
      <c r="H343" s="57" t="n">
        <v>1.5</v>
      </c>
      <c r="I343" s="88" t="n">
        <v>27.88</v>
      </c>
      <c r="J343" s="28" t="n">
        <f aca="false">H343*I343</f>
        <v>41.82</v>
      </c>
    </row>
    <row r="344" customFormat="false" ht="15" hidden="false" customHeight="false" outlineLevel="0" collapsed="false">
      <c r="F344" s="55"/>
      <c r="H344" s="57"/>
      <c r="I344" s="28"/>
      <c r="J344" s="86" t="n">
        <f aca="false">SUM(J338:J343)</f>
        <v>340.18884</v>
      </c>
    </row>
    <row r="345" customFormat="false" ht="15" hidden="false" customHeight="false" outlineLevel="0" collapsed="false">
      <c r="B345" s="87" t="s">
        <v>310</v>
      </c>
    </row>
    <row r="346" customFormat="false" ht="15" hidden="false" customHeight="false" outlineLevel="0" collapsed="false">
      <c r="B346" s="1" t="s">
        <v>311</v>
      </c>
      <c r="F346" s="55" t="s">
        <v>312</v>
      </c>
      <c r="H346" s="57" t="n">
        <v>3</v>
      </c>
      <c r="I346" s="28" t="n">
        <f aca="false">J336</f>
        <v>83.856</v>
      </c>
      <c r="J346" s="28" t="n">
        <f aca="false">H346%*I346</f>
        <v>2.51568</v>
      </c>
    </row>
    <row r="347" customFormat="false" ht="15" hidden="false" customHeight="false" outlineLevel="0" collapsed="false">
      <c r="B347" s="1" t="s">
        <v>668</v>
      </c>
      <c r="F347" s="55" t="s">
        <v>338</v>
      </c>
      <c r="G347" s="56" t="n">
        <v>1</v>
      </c>
      <c r="H347" s="57" t="n">
        <f aca="false">G347*8/$D$330</f>
        <v>0.4</v>
      </c>
      <c r="I347" s="28" t="n">
        <v>25.63</v>
      </c>
      <c r="J347" s="28" t="n">
        <f aca="false">H347*I347</f>
        <v>10.252</v>
      </c>
    </row>
    <row r="348" customFormat="false" ht="15" hidden="false" customHeight="false" outlineLevel="0" collapsed="false">
      <c r="B348" s="1" t="s">
        <v>676</v>
      </c>
      <c r="F348" s="55" t="s">
        <v>338</v>
      </c>
      <c r="G348" s="56" t="n">
        <v>0.5</v>
      </c>
      <c r="H348" s="57" t="n">
        <f aca="false">G348*8/$D$330</f>
        <v>0.2</v>
      </c>
      <c r="I348" s="28" t="n">
        <v>7.07</v>
      </c>
      <c r="J348" s="28" t="n">
        <f aca="false">H348*I348</f>
        <v>1.414</v>
      </c>
    </row>
    <row r="349" customFormat="false" ht="15" hidden="false" customHeight="false" outlineLevel="0" collapsed="false">
      <c r="A349" s="60"/>
      <c r="B349" s="60"/>
      <c r="C349" s="60"/>
      <c r="D349" s="60"/>
      <c r="E349" s="60"/>
      <c r="F349" s="60"/>
      <c r="G349" s="60"/>
      <c r="H349" s="60"/>
      <c r="I349" s="60"/>
      <c r="J349" s="89" t="n">
        <f aca="false">SUM(J346:J348)</f>
        <v>14.18168</v>
      </c>
    </row>
    <row r="350" customFormat="false" ht="15" hidden="false" customHeight="false" outlineLevel="0" collapsed="false">
      <c r="J350" s="86"/>
    </row>
    <row r="351" customFormat="false" ht="15" hidden="false" customHeight="false" outlineLevel="0" collapsed="false">
      <c r="A351" s="82" t="s">
        <v>278</v>
      </c>
      <c r="B351" s="82" t="str">
        <f aca="false">ESTRUCTURA!A32</f>
        <v>02.03.03.02</v>
      </c>
      <c r="C351" s="82" t="s">
        <v>513</v>
      </c>
      <c r="D351" s="82"/>
    </row>
    <row r="352" customFormat="false" ht="15" hidden="false" customHeight="false" outlineLevel="0" collapsed="false">
      <c r="A352" s="82" t="s">
        <v>279</v>
      </c>
      <c r="B352" s="82" t="s">
        <v>280</v>
      </c>
      <c r="C352" s="84" t="s">
        <v>281</v>
      </c>
      <c r="D352" s="85" t="n">
        <v>20</v>
      </c>
      <c r="E352" s="84" t="s">
        <v>282</v>
      </c>
      <c r="F352" s="85" t="n">
        <f aca="false">D352</f>
        <v>20</v>
      </c>
      <c r="G352" s="82" t="s">
        <v>283</v>
      </c>
      <c r="I352" s="84" t="s">
        <v>134</v>
      </c>
      <c r="J352" s="86" t="n">
        <f aca="false">J357+J362+J365</f>
        <v>64.02696</v>
      </c>
    </row>
    <row r="353" customFormat="false" ht="15" hidden="false" customHeight="false" outlineLevel="0" collapsed="false">
      <c r="A353" s="82" t="s">
        <v>284</v>
      </c>
      <c r="B353" s="82" t="s">
        <v>285</v>
      </c>
      <c r="F353" s="84" t="s">
        <v>123</v>
      </c>
      <c r="G353" s="84" t="s">
        <v>286</v>
      </c>
      <c r="H353" s="84" t="s">
        <v>287</v>
      </c>
      <c r="I353" s="84" t="s">
        <v>288</v>
      </c>
      <c r="J353" s="84" t="s">
        <v>289</v>
      </c>
    </row>
    <row r="354" customFormat="false" ht="15" hidden="false" customHeight="false" outlineLevel="0" collapsed="false">
      <c r="B354" s="87" t="s">
        <v>290</v>
      </c>
    </row>
    <row r="355" customFormat="false" ht="15" hidden="false" customHeight="false" outlineLevel="0" collapsed="false">
      <c r="B355" s="1" t="s">
        <v>291</v>
      </c>
      <c r="F355" s="55" t="s">
        <v>292</v>
      </c>
      <c r="G355" s="56" t="n">
        <v>2</v>
      </c>
      <c r="H355" s="57" t="n">
        <f aca="false">G355*8/$D$352</f>
        <v>0.8</v>
      </c>
      <c r="I355" s="28" t="n">
        <v>28.94</v>
      </c>
      <c r="J355" s="28" t="n">
        <f aca="false">H355*I355</f>
        <v>23.152</v>
      </c>
    </row>
    <row r="356" customFormat="false" ht="15" hidden="false" customHeight="false" outlineLevel="0" collapsed="false">
      <c r="B356" s="1" t="s">
        <v>293</v>
      </c>
      <c r="F356" s="55" t="s">
        <v>292</v>
      </c>
      <c r="G356" s="56" t="n">
        <v>2</v>
      </c>
      <c r="H356" s="57" t="n">
        <f aca="false">G356*8/$D$352</f>
        <v>0.8</v>
      </c>
      <c r="I356" s="28" t="n">
        <v>23.6</v>
      </c>
      <c r="J356" s="28" t="n">
        <f aca="false">H356*I356</f>
        <v>18.88</v>
      </c>
    </row>
    <row r="357" customFormat="false" ht="15" hidden="false" customHeight="false" outlineLevel="0" collapsed="false">
      <c r="F357" s="55"/>
      <c r="G357" s="56"/>
      <c r="H357" s="57"/>
      <c r="J357" s="86" t="n">
        <f aca="false">SUM(J355:J356)</f>
        <v>42.032</v>
      </c>
    </row>
    <row r="358" customFormat="false" ht="15" hidden="false" customHeight="false" outlineLevel="0" collapsed="false">
      <c r="B358" s="87" t="s">
        <v>654</v>
      </c>
      <c r="F358" s="55"/>
      <c r="G358" s="56"/>
      <c r="H358" s="57"/>
      <c r="J358" s="28"/>
    </row>
    <row r="359" customFormat="false" ht="15" hidden="false" customHeight="false" outlineLevel="0" collapsed="false">
      <c r="B359" s="1" t="s">
        <v>678</v>
      </c>
      <c r="F359" s="55" t="s">
        <v>297</v>
      </c>
      <c r="H359" s="57" t="n">
        <v>0.16</v>
      </c>
      <c r="I359" s="28" t="n">
        <v>2.64</v>
      </c>
      <c r="J359" s="28" t="n">
        <f aca="false">H359*I359</f>
        <v>0.4224</v>
      </c>
    </row>
    <row r="360" customFormat="false" ht="15" hidden="false" customHeight="false" outlineLevel="0" collapsed="false">
      <c r="B360" s="1" t="s">
        <v>302</v>
      </c>
      <c r="F360" s="55" t="s">
        <v>297</v>
      </c>
      <c r="H360" s="57" t="n">
        <v>0.16</v>
      </c>
      <c r="I360" s="28" t="n">
        <v>5.51</v>
      </c>
      <c r="J360" s="28" t="n">
        <f aca="false">H360*I360</f>
        <v>0.8816</v>
      </c>
    </row>
    <row r="361" customFormat="false" ht="15" hidden="false" customHeight="false" outlineLevel="0" collapsed="false">
      <c r="B361" s="1" t="s">
        <v>670</v>
      </c>
      <c r="F361" s="55" t="s">
        <v>306</v>
      </c>
      <c r="H361" s="57" t="n">
        <v>3.35</v>
      </c>
      <c r="I361" s="28" t="n">
        <v>5.8</v>
      </c>
      <c r="J361" s="28" t="n">
        <f aca="false">H361*I361</f>
        <v>19.43</v>
      </c>
    </row>
    <row r="362" customFormat="false" ht="15" hidden="false" customHeight="false" outlineLevel="0" collapsed="false">
      <c r="F362" s="55"/>
      <c r="H362" s="57"/>
      <c r="I362" s="28"/>
      <c r="J362" s="86" t="n">
        <f aca="false">SUM(J359:J361)</f>
        <v>20.734</v>
      </c>
    </row>
    <row r="363" customFormat="false" ht="15" hidden="false" customHeight="false" outlineLevel="0" collapsed="false">
      <c r="B363" s="87" t="s">
        <v>310</v>
      </c>
    </row>
    <row r="364" customFormat="false" ht="15" hidden="false" customHeight="false" outlineLevel="0" collapsed="false">
      <c r="B364" s="1" t="s">
        <v>311</v>
      </c>
      <c r="F364" s="55" t="s">
        <v>312</v>
      </c>
      <c r="H364" s="57" t="n">
        <v>3</v>
      </c>
      <c r="I364" s="28" t="n">
        <f aca="false">J357</f>
        <v>42.032</v>
      </c>
      <c r="J364" s="28" t="n">
        <f aca="false">H364%*I364</f>
        <v>1.26096</v>
      </c>
    </row>
    <row r="365" customFormat="false" ht="15" hidden="false" customHeight="false" outlineLevel="0" collapsed="false">
      <c r="A365" s="60"/>
      <c r="B365" s="60"/>
      <c r="C365" s="60"/>
      <c r="D365" s="60"/>
      <c r="E365" s="60"/>
      <c r="F365" s="60"/>
      <c r="G365" s="60"/>
      <c r="H365" s="60"/>
      <c r="I365" s="60"/>
      <c r="J365" s="89" t="n">
        <f aca="false">SUM(J364)</f>
        <v>1.26096</v>
      </c>
    </row>
    <row r="366" customFormat="false" ht="15" hidden="false" customHeight="false" outlineLevel="0" collapsed="false">
      <c r="J366" s="86"/>
    </row>
    <row r="367" customFormat="false" ht="15" hidden="false" customHeight="false" outlineLevel="0" collapsed="false">
      <c r="A367" s="82" t="s">
        <v>278</v>
      </c>
      <c r="B367" s="82" t="str">
        <f aca="false">ESTRUCTURA!A33</f>
        <v>02.03.03.03</v>
      </c>
      <c r="C367" s="82" t="s">
        <v>685</v>
      </c>
      <c r="D367" s="82"/>
    </row>
    <row r="368" customFormat="false" ht="15" hidden="false" customHeight="false" outlineLevel="0" collapsed="false">
      <c r="A368" s="82" t="s">
        <v>279</v>
      </c>
      <c r="B368" s="82" t="s">
        <v>679</v>
      </c>
      <c r="C368" s="84" t="s">
        <v>281</v>
      </c>
      <c r="D368" s="85" t="n">
        <v>250</v>
      </c>
      <c r="E368" s="84" t="s">
        <v>282</v>
      </c>
      <c r="F368" s="85" t="n">
        <f aca="false">D368</f>
        <v>250</v>
      </c>
      <c r="G368" s="82" t="s">
        <v>283</v>
      </c>
      <c r="I368" s="84" t="s">
        <v>297</v>
      </c>
      <c r="J368" s="86" t="n">
        <f aca="false">J374+J378+J382</f>
        <v>5.5639628445</v>
      </c>
      <c r="N368" s="82"/>
    </row>
    <row r="369" customFormat="false" ht="15" hidden="false" customHeight="false" outlineLevel="0" collapsed="false">
      <c r="A369" s="82" t="s">
        <v>284</v>
      </c>
      <c r="B369" s="82" t="s">
        <v>285</v>
      </c>
      <c r="F369" s="84" t="s">
        <v>123</v>
      </c>
      <c r="G369" s="84" t="s">
        <v>286</v>
      </c>
      <c r="H369" s="84" t="s">
        <v>287</v>
      </c>
      <c r="I369" s="84" t="s">
        <v>288</v>
      </c>
      <c r="J369" s="84" t="s">
        <v>289</v>
      </c>
    </row>
    <row r="370" customFormat="false" ht="15" hidden="false" customHeight="false" outlineLevel="0" collapsed="false">
      <c r="B370" s="87" t="s">
        <v>290</v>
      </c>
      <c r="G370" s="56"/>
    </row>
    <row r="371" customFormat="false" ht="15" hidden="false" customHeight="false" outlineLevel="0" collapsed="false">
      <c r="B371" s="1" t="s">
        <v>291</v>
      </c>
      <c r="F371" s="55" t="s">
        <v>292</v>
      </c>
      <c r="G371" s="56" t="n">
        <v>1</v>
      </c>
      <c r="H371" s="99" t="n">
        <f aca="false">G371*8/$D$260</f>
        <v>0.032</v>
      </c>
      <c r="I371" s="28" t="n">
        <v>28.94</v>
      </c>
      <c r="J371" s="28" t="n">
        <f aca="false">H371*I371</f>
        <v>0.92608</v>
      </c>
    </row>
    <row r="372" customFormat="false" ht="15" hidden="false" customHeight="false" outlineLevel="0" collapsed="false">
      <c r="B372" s="1" t="s">
        <v>680</v>
      </c>
      <c r="F372" s="55" t="s">
        <v>292</v>
      </c>
      <c r="G372" s="56" t="n">
        <v>1</v>
      </c>
      <c r="H372" s="99" t="n">
        <f aca="false">G372*8/$D$260</f>
        <v>0.032</v>
      </c>
      <c r="I372" s="28" t="n">
        <v>23.6</v>
      </c>
      <c r="J372" s="28" t="n">
        <f aca="false">H372*I372</f>
        <v>0.7552</v>
      </c>
      <c r="N372" s="82"/>
    </row>
    <row r="373" customFormat="false" ht="15" hidden="false" customHeight="false" outlineLevel="0" collapsed="false">
      <c r="F373" s="55"/>
      <c r="G373" s="56"/>
      <c r="H373" s="99"/>
      <c r="I373" s="28"/>
      <c r="J373" s="28"/>
    </row>
    <row r="374" customFormat="false" ht="15" hidden="false" customHeight="false" outlineLevel="0" collapsed="false">
      <c r="F374" s="55"/>
      <c r="G374" s="56"/>
      <c r="J374" s="86" t="n">
        <f aca="false">SUM(J371:J373)</f>
        <v>1.68128</v>
      </c>
    </row>
    <row r="375" customFormat="false" ht="15" hidden="false" customHeight="false" outlineLevel="0" collapsed="false">
      <c r="B375" s="87" t="s">
        <v>295</v>
      </c>
      <c r="F375" s="55"/>
      <c r="G375" s="56"/>
      <c r="H375" s="99"/>
    </row>
    <row r="376" customFormat="false" ht="15" hidden="false" customHeight="false" outlineLevel="0" collapsed="false">
      <c r="B376" s="1" t="s">
        <v>296</v>
      </c>
      <c r="F376" s="55" t="s">
        <v>297</v>
      </c>
      <c r="G376" s="56"/>
      <c r="H376" s="99" t="n">
        <v>0.03</v>
      </c>
      <c r="I376" s="28" t="n">
        <v>2.64</v>
      </c>
      <c r="J376" s="28" t="n">
        <f aca="false">H376*I376</f>
        <v>0.0792</v>
      </c>
    </row>
    <row r="377" customFormat="false" ht="15" hidden="false" customHeight="false" outlineLevel="0" collapsed="false">
      <c r="B377" s="1" t="s">
        <v>681</v>
      </c>
      <c r="F377" s="55" t="s">
        <v>297</v>
      </c>
      <c r="G377" s="56"/>
      <c r="H377" s="99" t="n">
        <v>1.05</v>
      </c>
      <c r="I377" s="28" t="n">
        <f aca="false">1012.71*3.379/1000</f>
        <v>3.42194709</v>
      </c>
      <c r="J377" s="28" t="n">
        <f aca="false">H377*I377</f>
        <v>3.5930444445</v>
      </c>
    </row>
    <row r="378" customFormat="false" ht="15" hidden="false" customHeight="false" outlineLevel="0" collapsed="false">
      <c r="F378" s="55"/>
      <c r="G378" s="56"/>
      <c r="J378" s="86" t="n">
        <f aca="false">SUM(J376:J377)</f>
        <v>3.6722444445</v>
      </c>
    </row>
    <row r="379" customFormat="false" ht="15" hidden="false" customHeight="false" outlineLevel="0" collapsed="false">
      <c r="B379" s="87" t="s">
        <v>318</v>
      </c>
      <c r="F379" s="55"/>
      <c r="G379" s="56"/>
    </row>
    <row r="380" customFormat="false" ht="15" hidden="false" customHeight="false" outlineLevel="0" collapsed="false">
      <c r="B380" s="1" t="s">
        <v>311</v>
      </c>
      <c r="F380" s="55" t="s">
        <v>312</v>
      </c>
      <c r="H380" s="57" t="n">
        <v>3</v>
      </c>
      <c r="I380" s="28" t="n">
        <f aca="false">J374</f>
        <v>1.68128</v>
      </c>
      <c r="J380" s="28" t="n">
        <f aca="false">H380%*I380</f>
        <v>0.0504384</v>
      </c>
    </row>
    <row r="381" customFormat="false" ht="15" hidden="false" customHeight="false" outlineLevel="0" collapsed="false">
      <c r="B381" s="1" t="s">
        <v>682</v>
      </c>
      <c r="F381" s="55" t="s">
        <v>292</v>
      </c>
      <c r="G381" s="56" t="n">
        <v>1</v>
      </c>
      <c r="H381" s="57" t="n">
        <f aca="false">G381*8/$D$368</f>
        <v>0.032</v>
      </c>
      <c r="I381" s="46" t="n">
        <v>5</v>
      </c>
      <c r="J381" s="28" t="n">
        <f aca="false">H381*I381</f>
        <v>0.16</v>
      </c>
    </row>
    <row r="382" customFormat="false" ht="15" hidden="false" customHeight="false" outlineLevel="0" collapsed="false">
      <c r="A382" s="60"/>
      <c r="B382" s="60"/>
      <c r="C382" s="60"/>
      <c r="D382" s="60"/>
      <c r="E382" s="60"/>
      <c r="F382" s="60"/>
      <c r="G382" s="60"/>
      <c r="H382" s="60"/>
      <c r="I382" s="60"/>
      <c r="J382" s="89" t="n">
        <f aca="false">SUM(J380:J381)</f>
        <v>0.2104384</v>
      </c>
    </row>
    <row r="385" customFormat="false" ht="15" hidden="false" customHeight="false" outlineLevel="0" collapsed="false">
      <c r="A385" s="82" t="s">
        <v>278</v>
      </c>
      <c r="B385" s="82" t="str">
        <f aca="false">ESTRUCTURA!A35</f>
        <v>02.03.04.01</v>
      </c>
      <c r="C385" s="82" t="s">
        <v>686</v>
      </c>
      <c r="D385" s="82"/>
    </row>
    <row r="386" customFormat="false" ht="15" hidden="false" customHeight="false" outlineLevel="0" collapsed="false">
      <c r="A386" s="82" t="s">
        <v>279</v>
      </c>
      <c r="B386" s="82" t="s">
        <v>417</v>
      </c>
      <c r="C386" s="84" t="s">
        <v>281</v>
      </c>
      <c r="D386" s="85" t="n">
        <v>15</v>
      </c>
      <c r="E386" s="84" t="s">
        <v>282</v>
      </c>
      <c r="F386" s="85" t="n">
        <f aca="false">D386</f>
        <v>15</v>
      </c>
      <c r="G386" s="82" t="s">
        <v>283</v>
      </c>
      <c r="I386" s="84" t="s">
        <v>204</v>
      </c>
      <c r="J386" s="86" t="n">
        <f aca="false">J392+J399+J404</f>
        <v>424.9218</v>
      </c>
    </row>
    <row r="387" customFormat="false" ht="15" hidden="false" customHeight="false" outlineLevel="0" collapsed="false">
      <c r="A387" s="82" t="s">
        <v>284</v>
      </c>
      <c r="B387" s="82" t="s">
        <v>285</v>
      </c>
      <c r="F387" s="84" t="s">
        <v>123</v>
      </c>
      <c r="G387" s="84" t="s">
        <v>286</v>
      </c>
      <c r="H387" s="84" t="s">
        <v>287</v>
      </c>
      <c r="I387" s="84" t="s">
        <v>288</v>
      </c>
      <c r="J387" s="84" t="s">
        <v>289</v>
      </c>
    </row>
    <row r="388" customFormat="false" ht="15" hidden="false" customHeight="false" outlineLevel="0" collapsed="false">
      <c r="B388" s="87" t="s">
        <v>290</v>
      </c>
    </row>
    <row r="389" customFormat="false" ht="15" hidden="false" customHeight="false" outlineLevel="0" collapsed="false">
      <c r="B389" s="1" t="s">
        <v>291</v>
      </c>
      <c r="F389" s="55" t="s">
        <v>292</v>
      </c>
      <c r="G389" s="56" t="n">
        <v>1</v>
      </c>
      <c r="H389" s="57" t="n">
        <f aca="false">G389*8/$D$386</f>
        <v>0.533333333333333</v>
      </c>
      <c r="I389" s="28" t="n">
        <v>28.94</v>
      </c>
      <c r="J389" s="28" t="n">
        <f aca="false">H389*I389</f>
        <v>15.4346666666667</v>
      </c>
    </row>
    <row r="390" customFormat="false" ht="15" hidden="false" customHeight="false" outlineLevel="0" collapsed="false">
      <c r="B390" s="1" t="s">
        <v>293</v>
      </c>
      <c r="F390" s="55" t="s">
        <v>292</v>
      </c>
      <c r="G390" s="56" t="n">
        <v>1</v>
      </c>
      <c r="H390" s="57" t="n">
        <f aca="false">G390*8/$D$386</f>
        <v>0.533333333333333</v>
      </c>
      <c r="I390" s="28" t="n">
        <v>23.6</v>
      </c>
      <c r="J390" s="28" t="n">
        <f aca="false">H390*I390</f>
        <v>12.5866666666667</v>
      </c>
    </row>
    <row r="391" customFormat="false" ht="15" hidden="false" customHeight="false" outlineLevel="0" collapsed="false">
      <c r="B391" s="1" t="s">
        <v>294</v>
      </c>
      <c r="F391" s="55" t="s">
        <v>292</v>
      </c>
      <c r="G391" s="56" t="n">
        <v>7</v>
      </c>
      <c r="H391" s="57" t="n">
        <f aca="false">G391*8/$D$386</f>
        <v>3.73333333333333</v>
      </c>
      <c r="I391" s="28" t="n">
        <v>21.36</v>
      </c>
      <c r="J391" s="28" t="n">
        <f aca="false">H391*I391</f>
        <v>79.744</v>
      </c>
    </row>
    <row r="392" customFormat="false" ht="15" hidden="false" customHeight="false" outlineLevel="0" collapsed="false">
      <c r="F392" s="55"/>
      <c r="G392" s="56"/>
      <c r="H392" s="57"/>
      <c r="J392" s="86" t="n">
        <f aca="false">SUM(J389:J391)</f>
        <v>107.765333333333</v>
      </c>
    </row>
    <row r="393" customFormat="false" ht="15" hidden="false" customHeight="false" outlineLevel="0" collapsed="false">
      <c r="B393" s="87" t="s">
        <v>654</v>
      </c>
      <c r="F393" s="55"/>
      <c r="G393" s="56"/>
      <c r="H393" s="57"/>
      <c r="J393" s="28"/>
    </row>
    <row r="394" customFormat="false" ht="15" hidden="false" customHeight="false" outlineLevel="0" collapsed="false">
      <c r="B394" s="1" t="s">
        <v>673</v>
      </c>
      <c r="F394" s="55" t="s">
        <v>204</v>
      </c>
      <c r="H394" s="57" t="n">
        <v>0.53</v>
      </c>
      <c r="I394" s="28" t="n">
        <v>55.08</v>
      </c>
      <c r="J394" s="28" t="n">
        <f aca="false">H394*I394</f>
        <v>29.1924</v>
      </c>
    </row>
    <row r="395" customFormat="false" ht="15" hidden="false" customHeight="false" outlineLevel="0" collapsed="false">
      <c r="B395" s="1" t="s">
        <v>674</v>
      </c>
      <c r="F395" s="55" t="s">
        <v>204</v>
      </c>
      <c r="H395" s="57" t="n">
        <v>0.52</v>
      </c>
      <c r="I395" s="28" t="n">
        <v>47</v>
      </c>
      <c r="J395" s="28" t="n">
        <f aca="false">H395*I395</f>
        <v>24.44</v>
      </c>
    </row>
    <row r="396" customFormat="false" ht="15" hidden="false" customHeight="false" outlineLevel="0" collapsed="false">
      <c r="B396" s="1" t="s">
        <v>307</v>
      </c>
      <c r="F396" s="55" t="s">
        <v>308</v>
      </c>
      <c r="H396" s="57" t="n">
        <v>9.73</v>
      </c>
      <c r="I396" s="28" t="n">
        <v>24.52</v>
      </c>
      <c r="J396" s="28" t="n">
        <f aca="false">H396*I396</f>
        <v>238.5796</v>
      </c>
    </row>
    <row r="397" customFormat="false" ht="15" hidden="false" customHeight="false" outlineLevel="0" collapsed="false">
      <c r="B397" s="1" t="s">
        <v>656</v>
      </c>
      <c r="F397" s="55" t="s">
        <v>204</v>
      </c>
      <c r="H397" s="57" t="n">
        <v>0.186</v>
      </c>
      <c r="I397" s="1" t="n">
        <v>6.14</v>
      </c>
      <c r="J397" s="28" t="n">
        <f aca="false">H397*I397</f>
        <v>1.14204</v>
      </c>
    </row>
    <row r="398" customFormat="false" ht="15" hidden="false" customHeight="false" outlineLevel="0" collapsed="false">
      <c r="B398" s="1" t="s">
        <v>666</v>
      </c>
      <c r="F398" s="55" t="s">
        <v>440</v>
      </c>
      <c r="H398" s="57" t="n">
        <v>0.36</v>
      </c>
      <c r="I398" s="1" t="n">
        <v>13.93</v>
      </c>
      <c r="J398" s="28" t="n">
        <f aca="false">H398*I398</f>
        <v>5.0148</v>
      </c>
    </row>
    <row r="399" customFormat="false" ht="15" hidden="false" customHeight="false" outlineLevel="0" collapsed="false">
      <c r="F399" s="55"/>
      <c r="H399" s="57"/>
      <c r="I399" s="28"/>
      <c r="J399" s="86" t="n">
        <f aca="false">SUM(J394:J398)</f>
        <v>298.36884</v>
      </c>
    </row>
    <row r="400" customFormat="false" ht="15" hidden="false" customHeight="false" outlineLevel="0" collapsed="false">
      <c r="B400" s="87" t="s">
        <v>310</v>
      </c>
    </row>
    <row r="401" customFormat="false" ht="15" hidden="false" customHeight="false" outlineLevel="0" collapsed="false">
      <c r="B401" s="1" t="s">
        <v>311</v>
      </c>
      <c r="F401" s="55" t="s">
        <v>312</v>
      </c>
      <c r="H401" s="57" t="n">
        <v>3</v>
      </c>
      <c r="I401" s="28" t="n">
        <f aca="false">J392</f>
        <v>107.765333333333</v>
      </c>
      <c r="J401" s="28" t="n">
        <f aca="false">H401%*I401</f>
        <v>3.23296</v>
      </c>
    </row>
    <row r="402" customFormat="false" ht="15" hidden="false" customHeight="false" outlineLevel="0" collapsed="false">
      <c r="B402" s="1" t="s">
        <v>668</v>
      </c>
      <c r="F402" s="55" t="s">
        <v>338</v>
      </c>
      <c r="G402" s="56" t="n">
        <v>1</v>
      </c>
      <c r="H402" s="57" t="n">
        <f aca="false">G402*8/$D$386</f>
        <v>0.533333333333333</v>
      </c>
      <c r="I402" s="28" t="n">
        <v>25.63</v>
      </c>
      <c r="J402" s="28" t="n">
        <f aca="false">H402*I402</f>
        <v>13.6693333333333</v>
      </c>
    </row>
    <row r="403" customFormat="false" ht="15" hidden="false" customHeight="false" outlineLevel="0" collapsed="false">
      <c r="B403" s="1" t="s">
        <v>676</v>
      </c>
      <c r="F403" s="55" t="s">
        <v>338</v>
      </c>
      <c r="G403" s="56" t="n">
        <v>0.5</v>
      </c>
      <c r="H403" s="57" t="n">
        <f aca="false">G403*8/$D$386</f>
        <v>0.266666666666667</v>
      </c>
      <c r="I403" s="28" t="n">
        <v>7.07</v>
      </c>
      <c r="J403" s="28" t="n">
        <f aca="false">H403*I403</f>
        <v>1.88533333333333</v>
      </c>
    </row>
    <row r="404" customFormat="false" ht="15" hidden="false" customHeight="false" outlineLevel="0" collapsed="false">
      <c r="A404" s="60"/>
      <c r="B404" s="60"/>
      <c r="C404" s="60"/>
      <c r="D404" s="60"/>
      <c r="E404" s="60"/>
      <c r="F404" s="60"/>
      <c r="G404" s="60"/>
      <c r="H404" s="60"/>
      <c r="I404" s="60"/>
      <c r="J404" s="89" t="n">
        <f aca="false">SUM(J401:J403)</f>
        <v>18.7876266666667</v>
      </c>
    </row>
    <row r="406" customFormat="false" ht="15" hidden="false" customHeight="false" outlineLevel="0" collapsed="false">
      <c r="A406" s="82" t="s">
        <v>278</v>
      </c>
      <c r="B406" s="82" t="str">
        <f aca="false">ESTRUCTURA!A36</f>
        <v>02.03.04.02</v>
      </c>
      <c r="C406" s="82" t="s">
        <v>687</v>
      </c>
      <c r="D406" s="82"/>
    </row>
    <row r="407" customFormat="false" ht="15" hidden="false" customHeight="false" outlineLevel="0" collapsed="false">
      <c r="A407" s="82" t="s">
        <v>279</v>
      </c>
      <c r="B407" s="82" t="s">
        <v>280</v>
      </c>
      <c r="C407" s="84" t="s">
        <v>281</v>
      </c>
      <c r="D407" s="85" t="n">
        <v>20</v>
      </c>
      <c r="E407" s="84" t="s">
        <v>282</v>
      </c>
      <c r="F407" s="85" t="n">
        <f aca="false">D407</f>
        <v>20</v>
      </c>
      <c r="G407" s="82" t="s">
        <v>283</v>
      </c>
      <c r="I407" s="84" t="s">
        <v>134</v>
      </c>
      <c r="J407" s="86" t="n">
        <f aca="false">J412+J417+J420</f>
        <v>42.64448</v>
      </c>
    </row>
    <row r="408" customFormat="false" ht="15" hidden="false" customHeight="false" outlineLevel="0" collapsed="false">
      <c r="A408" s="82" t="s">
        <v>284</v>
      </c>
      <c r="B408" s="82" t="s">
        <v>285</v>
      </c>
      <c r="F408" s="84" t="s">
        <v>123</v>
      </c>
      <c r="G408" s="84" t="s">
        <v>286</v>
      </c>
      <c r="H408" s="84" t="s">
        <v>287</v>
      </c>
      <c r="I408" s="84" t="s">
        <v>288</v>
      </c>
      <c r="J408" s="84" t="s">
        <v>289</v>
      </c>
    </row>
    <row r="409" customFormat="false" ht="15" hidden="false" customHeight="false" outlineLevel="0" collapsed="false">
      <c r="B409" s="87" t="s">
        <v>290</v>
      </c>
    </row>
    <row r="410" customFormat="false" ht="15" hidden="false" customHeight="false" outlineLevel="0" collapsed="false">
      <c r="B410" s="1" t="s">
        <v>291</v>
      </c>
      <c r="F410" s="55" t="s">
        <v>292</v>
      </c>
      <c r="G410" s="56" t="n">
        <v>1</v>
      </c>
      <c r="H410" s="57" t="n">
        <f aca="false">G410*8/$D$407</f>
        <v>0.4</v>
      </c>
      <c r="I410" s="28" t="n">
        <v>28.94</v>
      </c>
      <c r="J410" s="28" t="n">
        <f aca="false">H410*I410</f>
        <v>11.576</v>
      </c>
    </row>
    <row r="411" customFormat="false" ht="15" hidden="false" customHeight="false" outlineLevel="0" collapsed="false">
      <c r="B411" s="1" t="s">
        <v>293</v>
      </c>
      <c r="F411" s="55" t="s">
        <v>292</v>
      </c>
      <c r="G411" s="56" t="n">
        <v>1</v>
      </c>
      <c r="H411" s="57" t="n">
        <f aca="false">G411*8/$D$407</f>
        <v>0.4</v>
      </c>
      <c r="I411" s="28" t="n">
        <v>23.6</v>
      </c>
      <c r="J411" s="28" t="n">
        <f aca="false">H411*I411</f>
        <v>9.44</v>
      </c>
    </row>
    <row r="412" customFormat="false" ht="15" hidden="false" customHeight="false" outlineLevel="0" collapsed="false">
      <c r="F412" s="55"/>
      <c r="G412" s="56"/>
      <c r="H412" s="57"/>
      <c r="J412" s="86" t="n">
        <f aca="false">SUM(J410:J411)</f>
        <v>21.016</v>
      </c>
    </row>
    <row r="413" customFormat="false" ht="15" hidden="false" customHeight="false" outlineLevel="0" collapsed="false">
      <c r="B413" s="87" t="s">
        <v>654</v>
      </c>
      <c r="F413" s="55"/>
      <c r="G413" s="56"/>
      <c r="H413" s="57"/>
      <c r="J413" s="28"/>
    </row>
    <row r="414" customFormat="false" ht="15" hidden="false" customHeight="false" outlineLevel="0" collapsed="false">
      <c r="B414" s="1" t="s">
        <v>678</v>
      </c>
      <c r="F414" s="55" t="s">
        <v>297</v>
      </c>
      <c r="H414" s="57" t="n">
        <v>0.26</v>
      </c>
      <c r="I414" s="28" t="n">
        <v>2.64</v>
      </c>
      <c r="J414" s="28" t="n">
        <f aca="false">H414*I414</f>
        <v>0.6864</v>
      </c>
    </row>
    <row r="415" customFormat="false" ht="15" hidden="false" customHeight="false" outlineLevel="0" collapsed="false">
      <c r="B415" s="1" t="s">
        <v>302</v>
      </c>
      <c r="F415" s="55" t="s">
        <v>297</v>
      </c>
      <c r="H415" s="57" t="n">
        <v>0.16</v>
      </c>
      <c r="I415" s="28" t="n">
        <v>5.51</v>
      </c>
      <c r="J415" s="28" t="n">
        <f aca="false">H415*I415</f>
        <v>0.8816</v>
      </c>
    </row>
    <row r="416" customFormat="false" ht="15" hidden="false" customHeight="false" outlineLevel="0" collapsed="false">
      <c r="B416" s="1" t="s">
        <v>670</v>
      </c>
      <c r="F416" s="55" t="s">
        <v>306</v>
      </c>
      <c r="H416" s="57" t="n">
        <v>3.35</v>
      </c>
      <c r="I416" s="28" t="n">
        <v>5.8</v>
      </c>
      <c r="J416" s="28" t="n">
        <f aca="false">H416*I416</f>
        <v>19.43</v>
      </c>
    </row>
    <row r="417" customFormat="false" ht="15" hidden="false" customHeight="false" outlineLevel="0" collapsed="false">
      <c r="F417" s="55"/>
      <c r="H417" s="57"/>
      <c r="I417" s="28"/>
      <c r="J417" s="86" t="n">
        <f aca="false">SUM(J414:J416)</f>
        <v>20.998</v>
      </c>
    </row>
    <row r="418" customFormat="false" ht="15" hidden="false" customHeight="false" outlineLevel="0" collapsed="false">
      <c r="B418" s="87" t="s">
        <v>310</v>
      </c>
    </row>
    <row r="419" customFormat="false" ht="15" hidden="false" customHeight="false" outlineLevel="0" collapsed="false">
      <c r="B419" s="1" t="s">
        <v>311</v>
      </c>
      <c r="F419" s="55" t="s">
        <v>312</v>
      </c>
      <c r="H419" s="57" t="n">
        <v>3</v>
      </c>
      <c r="I419" s="28" t="n">
        <f aca="false">J412</f>
        <v>21.016</v>
      </c>
      <c r="J419" s="28" t="n">
        <f aca="false">H419%*I419</f>
        <v>0.63048</v>
      </c>
    </row>
    <row r="420" customFormat="false" ht="15" hidden="false" customHeight="false" outlineLevel="0" collapsed="false">
      <c r="A420" s="60"/>
      <c r="B420" s="60"/>
      <c r="C420" s="60"/>
      <c r="D420" s="60"/>
      <c r="E420" s="60"/>
      <c r="F420" s="60"/>
      <c r="G420" s="60"/>
      <c r="H420" s="60"/>
      <c r="I420" s="60"/>
      <c r="J420" s="89" t="n">
        <f aca="false">SUM(J419)</f>
        <v>0.63048</v>
      </c>
    </row>
    <row r="422" customFormat="false" ht="15" hidden="false" customHeight="false" outlineLevel="0" collapsed="false">
      <c r="A422" s="82" t="s">
        <v>278</v>
      </c>
      <c r="B422" s="82" t="str">
        <f aca="false">ESTRUCTURA!A37</f>
        <v>02.03.04.03</v>
      </c>
      <c r="C422" s="82" t="s">
        <v>688</v>
      </c>
      <c r="D422" s="82"/>
    </row>
    <row r="423" customFormat="false" ht="15" hidden="false" customHeight="false" outlineLevel="0" collapsed="false">
      <c r="A423" s="82" t="s">
        <v>279</v>
      </c>
      <c r="B423" s="82" t="s">
        <v>679</v>
      </c>
      <c r="C423" s="84" t="s">
        <v>281</v>
      </c>
      <c r="D423" s="85" t="n">
        <v>250</v>
      </c>
      <c r="E423" s="84" t="s">
        <v>282</v>
      </c>
      <c r="F423" s="85" t="n">
        <f aca="false">D423</f>
        <v>250</v>
      </c>
      <c r="G423" s="82" t="s">
        <v>283</v>
      </c>
      <c r="I423" s="84" t="s">
        <v>297</v>
      </c>
      <c r="J423" s="86" t="n">
        <f aca="false">J428+J432+J436</f>
        <v>5.5639628445</v>
      </c>
    </row>
    <row r="424" customFormat="false" ht="15" hidden="false" customHeight="false" outlineLevel="0" collapsed="false">
      <c r="A424" s="82" t="s">
        <v>284</v>
      </c>
      <c r="B424" s="82" t="s">
        <v>285</v>
      </c>
      <c r="F424" s="84" t="s">
        <v>123</v>
      </c>
      <c r="G424" s="84" t="s">
        <v>286</v>
      </c>
      <c r="H424" s="84" t="s">
        <v>287</v>
      </c>
      <c r="I424" s="84" t="s">
        <v>288</v>
      </c>
      <c r="J424" s="84" t="s">
        <v>289</v>
      </c>
    </row>
    <row r="425" customFormat="false" ht="15" hidden="false" customHeight="false" outlineLevel="0" collapsed="false">
      <c r="B425" s="87" t="s">
        <v>290</v>
      </c>
      <c r="G425" s="56"/>
    </row>
    <row r="426" customFormat="false" ht="15" hidden="false" customHeight="false" outlineLevel="0" collapsed="false">
      <c r="B426" s="1" t="s">
        <v>291</v>
      </c>
      <c r="F426" s="55" t="s">
        <v>292</v>
      </c>
      <c r="G426" s="56" t="n">
        <v>1</v>
      </c>
      <c r="H426" s="57" t="n">
        <f aca="false">G426*8/$D$423</f>
        <v>0.032</v>
      </c>
      <c r="I426" s="28" t="n">
        <v>28.94</v>
      </c>
      <c r="J426" s="28" t="n">
        <f aca="false">H426*I426</f>
        <v>0.92608</v>
      </c>
    </row>
    <row r="427" customFormat="false" ht="15" hidden="false" customHeight="false" outlineLevel="0" collapsed="false">
      <c r="B427" s="1" t="s">
        <v>680</v>
      </c>
      <c r="F427" s="55" t="s">
        <v>292</v>
      </c>
      <c r="G427" s="56" t="n">
        <v>1</v>
      </c>
      <c r="H427" s="57" t="n">
        <f aca="false">G427*8/$D$423</f>
        <v>0.032</v>
      </c>
      <c r="I427" s="28" t="n">
        <v>23.6</v>
      </c>
      <c r="J427" s="28" t="n">
        <f aca="false">H427*I427</f>
        <v>0.7552</v>
      </c>
    </row>
    <row r="428" customFormat="false" ht="15" hidden="false" customHeight="false" outlineLevel="0" collapsed="false">
      <c r="F428" s="55"/>
      <c r="G428" s="56"/>
      <c r="J428" s="86" t="n">
        <f aca="false">SUM(J426:J427)</f>
        <v>1.68128</v>
      </c>
    </row>
    <row r="429" customFormat="false" ht="15" hidden="false" customHeight="false" outlineLevel="0" collapsed="false">
      <c r="B429" s="87" t="s">
        <v>295</v>
      </c>
      <c r="F429" s="55"/>
      <c r="G429" s="56"/>
      <c r="H429" s="99"/>
    </row>
    <row r="430" customFormat="false" ht="15" hidden="false" customHeight="false" outlineLevel="0" collapsed="false">
      <c r="B430" s="1" t="s">
        <v>296</v>
      </c>
      <c r="F430" s="55" t="s">
        <v>297</v>
      </c>
      <c r="G430" s="56"/>
      <c r="H430" s="99" t="n">
        <v>0.03</v>
      </c>
      <c r="I430" s="28" t="n">
        <v>2.64</v>
      </c>
      <c r="J430" s="28" t="n">
        <f aca="false">H430*I430</f>
        <v>0.0792</v>
      </c>
    </row>
    <row r="431" customFormat="false" ht="15" hidden="false" customHeight="false" outlineLevel="0" collapsed="false">
      <c r="B431" s="1" t="s">
        <v>681</v>
      </c>
      <c r="F431" s="55" t="s">
        <v>297</v>
      </c>
      <c r="G431" s="56"/>
      <c r="H431" s="99" t="n">
        <v>1.05</v>
      </c>
      <c r="I431" s="28" t="n">
        <f aca="false">1012.71*3.379/1000</f>
        <v>3.42194709</v>
      </c>
      <c r="J431" s="28" t="n">
        <f aca="false">H431*I431</f>
        <v>3.5930444445</v>
      </c>
    </row>
    <row r="432" customFormat="false" ht="15" hidden="false" customHeight="false" outlineLevel="0" collapsed="false">
      <c r="F432" s="55"/>
      <c r="G432" s="56"/>
      <c r="J432" s="86" t="n">
        <f aca="false">SUM(J430:J431)</f>
        <v>3.6722444445</v>
      </c>
    </row>
    <row r="433" customFormat="false" ht="15" hidden="false" customHeight="false" outlineLevel="0" collapsed="false">
      <c r="B433" s="87" t="s">
        <v>318</v>
      </c>
      <c r="F433" s="55"/>
      <c r="G433" s="56"/>
    </row>
    <row r="434" customFormat="false" ht="15" hidden="false" customHeight="false" outlineLevel="0" collapsed="false">
      <c r="B434" s="1" t="s">
        <v>311</v>
      </c>
      <c r="F434" s="55" t="s">
        <v>312</v>
      </c>
      <c r="H434" s="57" t="n">
        <v>3</v>
      </c>
      <c r="I434" s="28" t="n">
        <f aca="false">J428</f>
        <v>1.68128</v>
      </c>
      <c r="J434" s="28" t="n">
        <f aca="false">H434%*I434</f>
        <v>0.0504384</v>
      </c>
    </row>
    <row r="435" customFormat="false" ht="15" hidden="false" customHeight="false" outlineLevel="0" collapsed="false">
      <c r="B435" s="1" t="s">
        <v>682</v>
      </c>
      <c r="F435" s="55" t="s">
        <v>292</v>
      </c>
      <c r="G435" s="56" t="n">
        <v>1</v>
      </c>
      <c r="H435" s="57" t="n">
        <f aca="false">G435*8/$D$423</f>
        <v>0.032</v>
      </c>
      <c r="I435" s="46" t="n">
        <v>5</v>
      </c>
      <c r="J435" s="28" t="n">
        <f aca="false">H435*I435</f>
        <v>0.16</v>
      </c>
    </row>
    <row r="436" customFormat="false" ht="15" hidden="false" customHeight="false" outlineLevel="0" collapsed="false">
      <c r="A436" s="60"/>
      <c r="B436" s="60"/>
      <c r="C436" s="60"/>
      <c r="D436" s="60"/>
      <c r="E436" s="60"/>
      <c r="F436" s="60"/>
      <c r="G436" s="60"/>
      <c r="H436" s="60"/>
      <c r="I436" s="60"/>
      <c r="J436" s="89" t="n">
        <f aca="false">SUM(J434:J435)</f>
        <v>0.2104384</v>
      </c>
    </row>
    <row r="438" customFormat="false" ht="15" hidden="false" customHeight="false" outlineLevel="0" collapsed="false">
      <c r="A438" s="82" t="s">
        <v>278</v>
      </c>
      <c r="B438" s="82" t="str">
        <f aca="false">ESTRUCTURA!A39</f>
        <v>02.03.05.01</v>
      </c>
      <c r="C438" s="82" t="s">
        <v>527</v>
      </c>
      <c r="D438" s="82"/>
    </row>
    <row r="439" customFormat="false" ht="15" hidden="false" customHeight="false" outlineLevel="0" collapsed="false">
      <c r="A439" s="82" t="s">
        <v>279</v>
      </c>
      <c r="B439" s="82" t="s">
        <v>417</v>
      </c>
      <c r="C439" s="84" t="s">
        <v>281</v>
      </c>
      <c r="D439" s="85" t="n">
        <v>15</v>
      </c>
      <c r="E439" s="84" t="s">
        <v>282</v>
      </c>
      <c r="F439" s="85" t="n">
        <f aca="false">D439</f>
        <v>15</v>
      </c>
      <c r="G439" s="82" t="s">
        <v>283</v>
      </c>
      <c r="I439" s="84" t="s">
        <v>204</v>
      </c>
      <c r="J439" s="86" t="n">
        <f aca="false">J445+J452+J457</f>
        <v>402.684786666667</v>
      </c>
    </row>
    <row r="440" customFormat="false" ht="15" hidden="false" customHeight="false" outlineLevel="0" collapsed="false">
      <c r="A440" s="82" t="s">
        <v>284</v>
      </c>
      <c r="B440" s="82" t="s">
        <v>285</v>
      </c>
      <c r="F440" s="84" t="s">
        <v>123</v>
      </c>
      <c r="G440" s="84" t="s">
        <v>286</v>
      </c>
      <c r="H440" s="84" t="s">
        <v>287</v>
      </c>
      <c r="I440" s="84" t="s">
        <v>288</v>
      </c>
      <c r="J440" s="84" t="s">
        <v>289</v>
      </c>
    </row>
    <row r="441" customFormat="false" ht="15" hidden="false" customHeight="false" outlineLevel="0" collapsed="false">
      <c r="B441" s="87" t="s">
        <v>290</v>
      </c>
    </row>
    <row r="442" customFormat="false" ht="15" hidden="false" customHeight="false" outlineLevel="0" collapsed="false">
      <c r="B442" s="1" t="s">
        <v>291</v>
      </c>
      <c r="F442" s="55" t="s">
        <v>292</v>
      </c>
      <c r="G442" s="56" t="n">
        <v>1</v>
      </c>
      <c r="H442" s="57" t="n">
        <f aca="false">G442*8/$D$439</f>
        <v>0.533333333333333</v>
      </c>
      <c r="I442" s="28" t="n">
        <v>28.94</v>
      </c>
      <c r="J442" s="28" t="n">
        <f aca="false">H442*I442</f>
        <v>15.4346666666667</v>
      </c>
    </row>
    <row r="443" customFormat="false" ht="15" hidden="false" customHeight="false" outlineLevel="0" collapsed="false">
      <c r="B443" s="1" t="s">
        <v>293</v>
      </c>
      <c r="F443" s="55" t="s">
        <v>292</v>
      </c>
      <c r="G443" s="56" t="n">
        <v>2</v>
      </c>
      <c r="H443" s="57" t="n">
        <f aca="false">G443*8/$D$439</f>
        <v>1.06666666666667</v>
      </c>
      <c r="I443" s="28" t="n">
        <v>23.6</v>
      </c>
      <c r="J443" s="28" t="n">
        <f aca="false">H443*I443</f>
        <v>25.1733333333333</v>
      </c>
    </row>
    <row r="444" customFormat="false" ht="15" hidden="false" customHeight="false" outlineLevel="0" collapsed="false">
      <c r="B444" s="1" t="s">
        <v>294</v>
      </c>
      <c r="F444" s="55" t="s">
        <v>292</v>
      </c>
      <c r="G444" s="56" t="n">
        <v>4</v>
      </c>
      <c r="H444" s="57" t="n">
        <f aca="false">G444*8/$D$439</f>
        <v>2.13333333333333</v>
      </c>
      <c r="I444" s="28" t="n">
        <v>21.36</v>
      </c>
      <c r="J444" s="28" t="n">
        <f aca="false">H444*I444</f>
        <v>45.568</v>
      </c>
    </row>
    <row r="445" customFormat="false" ht="15" hidden="false" customHeight="false" outlineLevel="0" collapsed="false">
      <c r="F445" s="55"/>
      <c r="G445" s="56"/>
      <c r="H445" s="57"/>
      <c r="J445" s="86" t="n">
        <f aca="false">SUM(J442:J444)</f>
        <v>86.176</v>
      </c>
    </row>
    <row r="446" customFormat="false" ht="15" hidden="false" customHeight="false" outlineLevel="0" collapsed="false">
      <c r="B446" s="87" t="s">
        <v>654</v>
      </c>
      <c r="F446" s="55"/>
      <c r="G446" s="56"/>
      <c r="H446" s="57"/>
      <c r="J446" s="28"/>
    </row>
    <row r="447" customFormat="false" ht="15" hidden="false" customHeight="false" outlineLevel="0" collapsed="false">
      <c r="B447" s="1" t="s">
        <v>673</v>
      </c>
      <c r="F447" s="55" t="s">
        <v>204</v>
      </c>
      <c r="H447" s="57" t="n">
        <v>0.53</v>
      </c>
      <c r="I447" s="28" t="n">
        <v>55.08</v>
      </c>
      <c r="J447" s="28" t="n">
        <f aca="false">H447*I447</f>
        <v>29.1924</v>
      </c>
    </row>
    <row r="448" customFormat="false" ht="15" hidden="false" customHeight="false" outlineLevel="0" collapsed="false">
      <c r="B448" s="1" t="s">
        <v>674</v>
      </c>
      <c r="F448" s="55" t="s">
        <v>204</v>
      </c>
      <c r="H448" s="57" t="n">
        <v>0.52</v>
      </c>
      <c r="I448" s="28" t="n">
        <v>47</v>
      </c>
      <c r="J448" s="28" t="n">
        <f aca="false">H448*I448</f>
        <v>24.44</v>
      </c>
    </row>
    <row r="449" customFormat="false" ht="15" hidden="false" customHeight="false" outlineLevel="0" collapsed="false">
      <c r="B449" s="1" t="s">
        <v>307</v>
      </c>
      <c r="F449" s="55" t="s">
        <v>308</v>
      </c>
      <c r="H449" s="57" t="n">
        <v>9.73</v>
      </c>
      <c r="I449" s="28" t="n">
        <v>24.52</v>
      </c>
      <c r="J449" s="28" t="n">
        <f aca="false">H449*I449</f>
        <v>238.5796</v>
      </c>
    </row>
    <row r="450" customFormat="false" ht="15" hidden="false" customHeight="false" outlineLevel="0" collapsed="false">
      <c r="B450" s="1" t="s">
        <v>656</v>
      </c>
      <c r="F450" s="55" t="s">
        <v>204</v>
      </c>
      <c r="H450" s="57" t="n">
        <v>0.186</v>
      </c>
      <c r="I450" s="1" t="n">
        <v>6.14</v>
      </c>
      <c r="J450" s="28" t="n">
        <f aca="false">H450*I450</f>
        <v>1.14204</v>
      </c>
    </row>
    <row r="451" customFormat="false" ht="15" hidden="false" customHeight="false" outlineLevel="0" collapsed="false">
      <c r="B451" s="1" t="s">
        <v>666</v>
      </c>
      <c r="F451" s="55" t="s">
        <v>440</v>
      </c>
      <c r="H451" s="57" t="n">
        <v>0.36</v>
      </c>
      <c r="I451" s="1" t="n">
        <v>13.93</v>
      </c>
      <c r="J451" s="28" t="n">
        <f aca="false">H451*I451</f>
        <v>5.0148</v>
      </c>
    </row>
    <row r="452" customFormat="false" ht="15" hidden="false" customHeight="false" outlineLevel="0" collapsed="false">
      <c r="F452" s="55"/>
      <c r="H452" s="57"/>
      <c r="I452" s="28"/>
      <c r="J452" s="86" t="n">
        <f aca="false">SUM(J447:J451)</f>
        <v>298.36884</v>
      </c>
    </row>
    <row r="453" customFormat="false" ht="15" hidden="false" customHeight="false" outlineLevel="0" collapsed="false">
      <c r="B453" s="87" t="s">
        <v>310</v>
      </c>
    </row>
    <row r="454" customFormat="false" ht="15" hidden="false" customHeight="false" outlineLevel="0" collapsed="false">
      <c r="B454" s="1" t="s">
        <v>311</v>
      </c>
      <c r="F454" s="55" t="s">
        <v>312</v>
      </c>
      <c r="H454" s="57" t="n">
        <v>3</v>
      </c>
      <c r="I454" s="28" t="n">
        <f aca="false">J445</f>
        <v>86.176</v>
      </c>
      <c r="J454" s="28" t="n">
        <f aca="false">H454%*I454</f>
        <v>2.58528</v>
      </c>
    </row>
    <row r="455" customFormat="false" ht="15" hidden="false" customHeight="false" outlineLevel="0" collapsed="false">
      <c r="B455" s="1" t="s">
        <v>668</v>
      </c>
      <c r="F455" s="55" t="s">
        <v>338</v>
      </c>
      <c r="G455" s="56" t="n">
        <v>1</v>
      </c>
      <c r="H455" s="57" t="n">
        <f aca="false">G455*8/$D$439</f>
        <v>0.533333333333333</v>
      </c>
      <c r="I455" s="28" t="n">
        <v>25.63</v>
      </c>
      <c r="J455" s="28" t="n">
        <f aca="false">H455*I455</f>
        <v>13.6693333333333</v>
      </c>
    </row>
    <row r="456" customFormat="false" ht="15" hidden="false" customHeight="false" outlineLevel="0" collapsed="false">
      <c r="B456" s="1" t="s">
        <v>676</v>
      </c>
      <c r="F456" s="55" t="s">
        <v>338</v>
      </c>
      <c r="G456" s="56" t="n">
        <v>0.5</v>
      </c>
      <c r="H456" s="57" t="n">
        <f aca="false">G456*8/$D$439</f>
        <v>0.266666666666667</v>
      </c>
      <c r="I456" s="28" t="n">
        <v>7.07</v>
      </c>
      <c r="J456" s="28" t="n">
        <f aca="false">H456*I456</f>
        <v>1.88533333333333</v>
      </c>
    </row>
    <row r="457" customFormat="false" ht="15" hidden="false" customHeight="false" outlineLevel="0" collapsed="false">
      <c r="A457" s="60"/>
      <c r="B457" s="60"/>
      <c r="C457" s="60"/>
      <c r="D457" s="60"/>
      <c r="E457" s="60"/>
      <c r="F457" s="60"/>
      <c r="G457" s="60"/>
      <c r="H457" s="60"/>
      <c r="I457" s="60"/>
      <c r="J457" s="89" t="n">
        <f aca="false">SUM(J454:J456)</f>
        <v>18.1399466666667</v>
      </c>
    </row>
    <row r="459" customFormat="false" ht="15" hidden="false" customHeight="false" outlineLevel="0" collapsed="false">
      <c r="A459" s="82" t="s">
        <v>278</v>
      </c>
      <c r="B459" s="82" t="str">
        <f aca="false">ESTRUCTURA!A40</f>
        <v>02.03.05.02</v>
      </c>
      <c r="C459" s="82" t="s">
        <v>529</v>
      </c>
      <c r="D459" s="82"/>
    </row>
    <row r="460" customFormat="false" ht="15" hidden="false" customHeight="false" outlineLevel="0" collapsed="false">
      <c r="A460" s="82" t="s">
        <v>279</v>
      </c>
      <c r="B460" s="82" t="s">
        <v>280</v>
      </c>
      <c r="C460" s="84" t="s">
        <v>281</v>
      </c>
      <c r="D460" s="85" t="n">
        <v>35</v>
      </c>
      <c r="E460" s="84" t="s">
        <v>282</v>
      </c>
      <c r="F460" s="85" t="n">
        <f aca="false">D460</f>
        <v>35</v>
      </c>
      <c r="G460" s="82" t="s">
        <v>283</v>
      </c>
      <c r="I460" s="84" t="s">
        <v>134</v>
      </c>
      <c r="J460" s="86" t="n">
        <f aca="false">J466+J471+J474</f>
        <v>47.0115742857143</v>
      </c>
    </row>
    <row r="461" customFormat="false" ht="15" hidden="false" customHeight="false" outlineLevel="0" collapsed="false">
      <c r="A461" s="82" t="s">
        <v>284</v>
      </c>
      <c r="B461" s="82" t="s">
        <v>285</v>
      </c>
      <c r="F461" s="84" t="s">
        <v>123</v>
      </c>
      <c r="G461" s="84" t="s">
        <v>286</v>
      </c>
      <c r="H461" s="84" t="s">
        <v>287</v>
      </c>
      <c r="I461" s="84" t="s">
        <v>288</v>
      </c>
      <c r="J461" s="84" t="s">
        <v>289</v>
      </c>
    </row>
    <row r="462" customFormat="false" ht="15" hidden="false" customHeight="false" outlineLevel="0" collapsed="false">
      <c r="B462" s="87" t="s">
        <v>290</v>
      </c>
    </row>
    <row r="463" customFormat="false" ht="15" hidden="false" customHeight="false" outlineLevel="0" collapsed="false">
      <c r="B463" s="1" t="s">
        <v>291</v>
      </c>
      <c r="F463" s="55" t="s">
        <v>292</v>
      </c>
      <c r="G463" s="56" t="n">
        <v>2</v>
      </c>
      <c r="H463" s="57" t="n">
        <f aca="false">G463*8/$D$460</f>
        <v>0.457142857142857</v>
      </c>
      <c r="I463" s="28" t="n">
        <v>28.94</v>
      </c>
      <c r="J463" s="28" t="n">
        <f aca="false">H463*I463</f>
        <v>13.2297142857143</v>
      </c>
    </row>
    <row r="464" customFormat="false" ht="15" hidden="false" customHeight="false" outlineLevel="0" collapsed="false">
      <c r="B464" s="1" t="s">
        <v>293</v>
      </c>
      <c r="F464" s="55" t="s">
        <v>292</v>
      </c>
      <c r="G464" s="56" t="n">
        <v>1</v>
      </c>
      <c r="H464" s="57" t="n">
        <f aca="false">G464*8/$D$460</f>
        <v>0.228571428571429</v>
      </c>
      <c r="I464" s="28" t="n">
        <v>23.6</v>
      </c>
      <c r="J464" s="28" t="n">
        <f aca="false">H464*I464</f>
        <v>5.39428571428571</v>
      </c>
    </row>
    <row r="465" customFormat="false" ht="15" hidden="false" customHeight="false" outlineLevel="0" collapsed="false">
      <c r="B465" s="1" t="s">
        <v>294</v>
      </c>
      <c r="F465" s="55" t="s">
        <v>292</v>
      </c>
      <c r="G465" s="56" t="n">
        <v>1</v>
      </c>
      <c r="H465" s="57" t="n">
        <f aca="false">G465*8/$D$460</f>
        <v>0.228571428571429</v>
      </c>
      <c r="I465" s="28" t="n">
        <v>21.36</v>
      </c>
      <c r="J465" s="28" t="n">
        <f aca="false">H465*I465</f>
        <v>4.88228571428571</v>
      </c>
    </row>
    <row r="466" customFormat="false" ht="15" hidden="false" customHeight="false" outlineLevel="0" collapsed="false">
      <c r="F466" s="55"/>
      <c r="G466" s="56"/>
      <c r="H466" s="57"/>
      <c r="J466" s="86" t="n">
        <f aca="false">SUM(J463:J465)</f>
        <v>23.5062857142857</v>
      </c>
    </row>
    <row r="467" customFormat="false" ht="15" hidden="false" customHeight="false" outlineLevel="0" collapsed="false">
      <c r="B467" s="87" t="s">
        <v>654</v>
      </c>
      <c r="F467" s="55"/>
      <c r="G467" s="56"/>
      <c r="H467" s="57"/>
      <c r="J467" s="28"/>
    </row>
    <row r="468" customFormat="false" ht="15" hidden="false" customHeight="false" outlineLevel="0" collapsed="false">
      <c r="B468" s="1" t="s">
        <v>689</v>
      </c>
      <c r="F468" s="55" t="s">
        <v>297</v>
      </c>
      <c r="H468" s="57" t="n">
        <v>0.3</v>
      </c>
      <c r="I468" s="28" t="n">
        <v>2.64</v>
      </c>
      <c r="J468" s="28" t="n">
        <f aca="false">H468*I468</f>
        <v>0.792</v>
      </c>
    </row>
    <row r="469" customFormat="false" ht="15" hidden="false" customHeight="false" outlineLevel="0" collapsed="false">
      <c r="B469" s="1" t="s">
        <v>302</v>
      </c>
      <c r="F469" s="55" t="s">
        <v>297</v>
      </c>
      <c r="H469" s="57" t="n">
        <v>0.31</v>
      </c>
      <c r="I469" s="28" t="n">
        <v>5.51</v>
      </c>
      <c r="J469" s="28" t="n">
        <f aca="false">H469*I469</f>
        <v>1.7081</v>
      </c>
    </row>
    <row r="470" customFormat="false" ht="15" hidden="false" customHeight="false" outlineLevel="0" collapsed="false">
      <c r="B470" s="1" t="s">
        <v>670</v>
      </c>
      <c r="F470" s="55" t="s">
        <v>306</v>
      </c>
      <c r="H470" s="57" t="n">
        <v>3.5</v>
      </c>
      <c r="I470" s="28" t="n">
        <v>5.8</v>
      </c>
      <c r="J470" s="28" t="n">
        <f aca="false">H470*I470</f>
        <v>20.3</v>
      </c>
    </row>
    <row r="471" customFormat="false" ht="15" hidden="false" customHeight="false" outlineLevel="0" collapsed="false">
      <c r="F471" s="55"/>
      <c r="H471" s="57"/>
      <c r="I471" s="28"/>
      <c r="J471" s="86" t="n">
        <f aca="false">SUM(J468:J470)</f>
        <v>22.8001</v>
      </c>
    </row>
    <row r="472" customFormat="false" ht="15" hidden="false" customHeight="false" outlineLevel="0" collapsed="false">
      <c r="B472" s="87" t="s">
        <v>310</v>
      </c>
    </row>
    <row r="473" customFormat="false" ht="15" hidden="false" customHeight="false" outlineLevel="0" collapsed="false">
      <c r="B473" s="1" t="s">
        <v>311</v>
      </c>
      <c r="F473" s="55" t="s">
        <v>312</v>
      </c>
      <c r="H473" s="57" t="n">
        <v>3</v>
      </c>
      <c r="I473" s="28" t="n">
        <f aca="false">J466</f>
        <v>23.5062857142857</v>
      </c>
      <c r="J473" s="28" t="n">
        <f aca="false">H473%*I473</f>
        <v>0.705188571428571</v>
      </c>
    </row>
    <row r="474" customFormat="false" ht="15" hidden="false" customHeight="false" outlineLevel="0" collapsed="false">
      <c r="A474" s="60"/>
      <c r="B474" s="60"/>
      <c r="C474" s="60"/>
      <c r="D474" s="60"/>
      <c r="E474" s="60"/>
      <c r="F474" s="60"/>
      <c r="G474" s="60"/>
      <c r="H474" s="60"/>
      <c r="I474" s="60"/>
      <c r="J474" s="89" t="n">
        <f aca="false">SUM(J473)</f>
        <v>0.705188571428571</v>
      </c>
    </row>
    <row r="476" customFormat="false" ht="15" hidden="false" customHeight="false" outlineLevel="0" collapsed="false">
      <c r="A476" s="82" t="s">
        <v>278</v>
      </c>
      <c r="B476" s="82" t="str">
        <f aca="false">ESTRUCTURA!A41</f>
        <v>02.03.05.03</v>
      </c>
      <c r="C476" s="82" t="s">
        <v>531</v>
      </c>
      <c r="D476" s="82"/>
    </row>
    <row r="477" customFormat="false" ht="15" hidden="false" customHeight="false" outlineLevel="0" collapsed="false">
      <c r="A477" s="82" t="s">
        <v>279</v>
      </c>
      <c r="B477" s="82" t="s">
        <v>280</v>
      </c>
      <c r="C477" s="84" t="s">
        <v>281</v>
      </c>
      <c r="D477" s="85" t="n">
        <v>250</v>
      </c>
      <c r="E477" s="84" t="s">
        <v>282</v>
      </c>
      <c r="F477" s="85" t="n">
        <f aca="false">D477</f>
        <v>250</v>
      </c>
      <c r="G477" s="82" t="s">
        <v>283</v>
      </c>
      <c r="I477" s="84" t="s">
        <v>134</v>
      </c>
      <c r="J477" s="86" t="n">
        <f aca="false">J482+J486+J490</f>
        <v>5.5639628445</v>
      </c>
    </row>
    <row r="478" customFormat="false" ht="15" hidden="false" customHeight="false" outlineLevel="0" collapsed="false">
      <c r="A478" s="82" t="s">
        <v>284</v>
      </c>
      <c r="B478" s="82" t="s">
        <v>285</v>
      </c>
      <c r="F478" s="84" t="s">
        <v>123</v>
      </c>
      <c r="G478" s="84" t="s">
        <v>286</v>
      </c>
      <c r="H478" s="84" t="s">
        <v>287</v>
      </c>
      <c r="I478" s="84" t="s">
        <v>288</v>
      </c>
      <c r="J478" s="84" t="s">
        <v>289</v>
      </c>
    </row>
    <row r="479" customFormat="false" ht="15" hidden="false" customHeight="false" outlineLevel="0" collapsed="false">
      <c r="B479" s="87" t="s">
        <v>290</v>
      </c>
    </row>
    <row r="480" customFormat="false" ht="15" hidden="false" customHeight="false" outlineLevel="0" collapsed="false">
      <c r="B480" s="1" t="s">
        <v>291</v>
      </c>
      <c r="F480" s="55" t="s">
        <v>292</v>
      </c>
      <c r="G480" s="56" t="n">
        <v>1</v>
      </c>
      <c r="H480" s="99" t="n">
        <f aca="false">G480*8/$D$477</f>
        <v>0.032</v>
      </c>
      <c r="I480" s="28" t="n">
        <v>28.94</v>
      </c>
      <c r="J480" s="28" t="n">
        <f aca="false">H480*I480</f>
        <v>0.92608</v>
      </c>
    </row>
    <row r="481" customFormat="false" ht="15" hidden="false" customHeight="false" outlineLevel="0" collapsed="false">
      <c r="B481" s="1" t="s">
        <v>680</v>
      </c>
      <c r="F481" s="55" t="s">
        <v>292</v>
      </c>
      <c r="G481" s="56" t="n">
        <v>1</v>
      </c>
      <c r="H481" s="99" t="n">
        <f aca="false">G481*8/$D$477</f>
        <v>0.032</v>
      </c>
      <c r="I481" s="28" t="n">
        <v>23.6</v>
      </c>
      <c r="J481" s="28" t="n">
        <f aca="false">H481*I481</f>
        <v>0.7552</v>
      </c>
    </row>
    <row r="482" customFormat="false" ht="15" hidden="false" customHeight="false" outlineLevel="0" collapsed="false">
      <c r="F482" s="55"/>
      <c r="G482" s="56"/>
      <c r="J482" s="86" t="n">
        <f aca="false">SUM(J480:J481)</f>
        <v>1.68128</v>
      </c>
    </row>
    <row r="483" customFormat="false" ht="15" hidden="false" customHeight="false" outlineLevel="0" collapsed="false">
      <c r="B483" s="87" t="s">
        <v>295</v>
      </c>
      <c r="F483" s="55"/>
      <c r="G483" s="56"/>
      <c r="H483" s="99"/>
    </row>
    <row r="484" customFormat="false" ht="15" hidden="false" customHeight="false" outlineLevel="0" collapsed="false">
      <c r="B484" s="1" t="s">
        <v>296</v>
      </c>
      <c r="F484" s="55" t="s">
        <v>297</v>
      </c>
      <c r="G484" s="56"/>
      <c r="H484" s="99" t="n">
        <v>0.03</v>
      </c>
      <c r="I484" s="28" t="n">
        <v>2.64</v>
      </c>
      <c r="J484" s="28" t="n">
        <f aca="false">H484*I484</f>
        <v>0.0792</v>
      </c>
    </row>
    <row r="485" customFormat="false" ht="15" hidden="false" customHeight="false" outlineLevel="0" collapsed="false">
      <c r="B485" s="1" t="s">
        <v>681</v>
      </c>
      <c r="F485" s="55" t="s">
        <v>297</v>
      </c>
      <c r="G485" s="56"/>
      <c r="H485" s="99" t="n">
        <v>1.05</v>
      </c>
      <c r="I485" s="28" t="n">
        <f aca="false">1012.71*3.379/1000</f>
        <v>3.42194709</v>
      </c>
      <c r="J485" s="28" t="n">
        <f aca="false">H485*I485</f>
        <v>3.5930444445</v>
      </c>
    </row>
    <row r="486" customFormat="false" ht="15" hidden="false" customHeight="false" outlineLevel="0" collapsed="false">
      <c r="F486" s="55"/>
      <c r="G486" s="56"/>
      <c r="J486" s="86" t="n">
        <f aca="false">SUM(J484:J485)</f>
        <v>3.6722444445</v>
      </c>
    </row>
    <row r="487" customFormat="false" ht="15" hidden="false" customHeight="false" outlineLevel="0" collapsed="false">
      <c r="B487" s="87" t="s">
        <v>318</v>
      </c>
      <c r="F487" s="55"/>
      <c r="G487" s="56"/>
    </row>
    <row r="488" customFormat="false" ht="15" hidden="false" customHeight="false" outlineLevel="0" collapsed="false">
      <c r="B488" s="1" t="s">
        <v>311</v>
      </c>
      <c r="F488" s="55" t="s">
        <v>312</v>
      </c>
      <c r="H488" s="57" t="n">
        <v>3</v>
      </c>
      <c r="I488" s="28" t="n">
        <f aca="false">J482</f>
        <v>1.68128</v>
      </c>
      <c r="J488" s="28" t="n">
        <f aca="false">H488%*I488</f>
        <v>0.0504384</v>
      </c>
    </row>
    <row r="489" customFormat="false" ht="15" hidden="false" customHeight="false" outlineLevel="0" collapsed="false">
      <c r="B489" s="1" t="s">
        <v>682</v>
      </c>
      <c r="F489" s="55" t="s">
        <v>292</v>
      </c>
      <c r="G489" s="56" t="n">
        <v>1</v>
      </c>
      <c r="H489" s="99" t="n">
        <f aca="false">G489*8/$D$477</f>
        <v>0.032</v>
      </c>
      <c r="I489" s="46" t="n">
        <v>5</v>
      </c>
      <c r="J489" s="28" t="n">
        <f aca="false">H489*I489</f>
        <v>0.16</v>
      </c>
    </row>
    <row r="490" customFormat="false" ht="15" hidden="false" customHeight="false" outlineLevel="0" collapsed="false">
      <c r="A490" s="60"/>
      <c r="B490" s="60"/>
      <c r="C490" s="60"/>
      <c r="D490" s="60"/>
      <c r="E490" s="60"/>
      <c r="F490" s="60"/>
      <c r="G490" s="60"/>
      <c r="H490" s="60"/>
      <c r="I490" s="60"/>
      <c r="J490" s="89" t="n">
        <f aca="false">SUM(J488:J489)</f>
        <v>0.2104384</v>
      </c>
    </row>
    <row r="491" customFormat="false" ht="15" hidden="false" customHeight="false" outlineLevel="0" collapsed="false">
      <c r="J491" s="86"/>
    </row>
    <row r="492" customFormat="false" ht="15" hidden="false" customHeight="false" outlineLevel="0" collapsed="false">
      <c r="A492" s="82" t="s">
        <v>278</v>
      </c>
      <c r="B492" s="82" t="str">
        <f aca="false">ESTRUCTURA!A43</f>
        <v>02.03.06.01</v>
      </c>
      <c r="C492" s="82" t="s">
        <v>690</v>
      </c>
      <c r="D492" s="82"/>
    </row>
    <row r="493" customFormat="false" ht="15" hidden="false" customHeight="false" outlineLevel="0" collapsed="false">
      <c r="A493" s="82" t="s">
        <v>279</v>
      </c>
      <c r="B493" s="82" t="s">
        <v>417</v>
      </c>
      <c r="C493" s="84" t="s">
        <v>281</v>
      </c>
      <c r="D493" s="85" t="n">
        <v>15</v>
      </c>
      <c r="E493" s="84" t="s">
        <v>282</v>
      </c>
      <c r="F493" s="85" t="n">
        <f aca="false">D493</f>
        <v>15</v>
      </c>
      <c r="G493" s="82" t="s">
        <v>283</v>
      </c>
      <c r="I493" s="84" t="s">
        <v>204</v>
      </c>
      <c r="J493" s="86" t="n">
        <f aca="false">J499+J506+J511</f>
        <v>359.083626666667</v>
      </c>
    </row>
    <row r="494" customFormat="false" ht="15" hidden="false" customHeight="false" outlineLevel="0" collapsed="false">
      <c r="A494" s="82" t="s">
        <v>284</v>
      </c>
      <c r="B494" s="82" t="s">
        <v>285</v>
      </c>
      <c r="F494" s="84" t="s">
        <v>123</v>
      </c>
      <c r="G494" s="84" t="s">
        <v>286</v>
      </c>
      <c r="H494" s="84" t="s">
        <v>287</v>
      </c>
      <c r="I494" s="84" t="s">
        <v>288</v>
      </c>
      <c r="J494" s="84" t="s">
        <v>289</v>
      </c>
    </row>
    <row r="495" customFormat="false" ht="15" hidden="false" customHeight="false" outlineLevel="0" collapsed="false">
      <c r="B495" s="87" t="s">
        <v>290</v>
      </c>
    </row>
    <row r="496" customFormat="false" ht="15" hidden="false" customHeight="false" outlineLevel="0" collapsed="false">
      <c r="B496" s="1" t="s">
        <v>291</v>
      </c>
      <c r="F496" s="55" t="s">
        <v>292</v>
      </c>
      <c r="G496" s="56" t="n">
        <v>1</v>
      </c>
      <c r="H496" s="57" t="n">
        <f aca="false">G496*8/$D$493</f>
        <v>0.533333333333333</v>
      </c>
      <c r="I496" s="28" t="n">
        <v>28.94</v>
      </c>
      <c r="J496" s="28" t="n">
        <f aca="false">H496*I496</f>
        <v>15.4346666666667</v>
      </c>
    </row>
    <row r="497" customFormat="false" ht="15" hidden="false" customHeight="false" outlineLevel="0" collapsed="false">
      <c r="B497" s="1" t="s">
        <v>293</v>
      </c>
      <c r="F497" s="55" t="s">
        <v>292</v>
      </c>
      <c r="G497" s="56" t="n">
        <v>2</v>
      </c>
      <c r="H497" s="57" t="n">
        <f aca="false">G497*8/$D$493</f>
        <v>1.06666666666667</v>
      </c>
      <c r="I497" s="28" t="n">
        <v>23.6</v>
      </c>
      <c r="J497" s="28" t="n">
        <f aca="false">H497*I497</f>
        <v>25.1733333333333</v>
      </c>
    </row>
    <row r="498" customFormat="false" ht="15" hidden="false" customHeight="false" outlineLevel="0" collapsed="false">
      <c r="B498" s="1" t="s">
        <v>294</v>
      </c>
      <c r="F498" s="55" t="s">
        <v>292</v>
      </c>
      <c r="G498" s="56" t="n">
        <v>4</v>
      </c>
      <c r="H498" s="57" t="n">
        <f aca="false">G498*8/$D$493</f>
        <v>2.13333333333333</v>
      </c>
      <c r="I498" s="28" t="n">
        <v>21.36</v>
      </c>
      <c r="J498" s="28" t="n">
        <f aca="false">H498*I498</f>
        <v>45.568</v>
      </c>
    </row>
    <row r="499" customFormat="false" ht="15" hidden="false" customHeight="false" outlineLevel="0" collapsed="false">
      <c r="F499" s="55"/>
      <c r="G499" s="56"/>
      <c r="H499" s="57"/>
      <c r="J499" s="86" t="n">
        <f aca="false">SUM(J496:J498)</f>
        <v>86.176</v>
      </c>
    </row>
    <row r="500" customFormat="false" ht="15" hidden="false" customHeight="false" outlineLevel="0" collapsed="false">
      <c r="B500" s="87" t="s">
        <v>654</v>
      </c>
      <c r="F500" s="55"/>
      <c r="G500" s="56"/>
      <c r="H500" s="57"/>
      <c r="J500" s="28"/>
    </row>
    <row r="501" customFormat="false" ht="15" hidden="false" customHeight="false" outlineLevel="0" collapsed="false">
      <c r="B501" s="1" t="s">
        <v>673</v>
      </c>
      <c r="F501" s="55" t="s">
        <v>204</v>
      </c>
      <c r="H501" s="57" t="n">
        <v>0.51</v>
      </c>
      <c r="I501" s="28" t="n">
        <v>55.08</v>
      </c>
      <c r="J501" s="28" t="n">
        <f aca="false">H501*I501</f>
        <v>28.0908</v>
      </c>
    </row>
    <row r="502" customFormat="false" ht="15" hidden="false" customHeight="false" outlineLevel="0" collapsed="false">
      <c r="B502" s="1" t="s">
        <v>674</v>
      </c>
      <c r="F502" s="55" t="s">
        <v>204</v>
      </c>
      <c r="H502" s="57" t="n">
        <v>0.49</v>
      </c>
      <c r="I502" s="28" t="n">
        <v>47</v>
      </c>
      <c r="J502" s="28" t="n">
        <f aca="false">H502*I502</f>
        <v>23.03</v>
      </c>
    </row>
    <row r="503" customFormat="false" ht="15" hidden="false" customHeight="false" outlineLevel="0" collapsed="false">
      <c r="B503" s="1" t="s">
        <v>307</v>
      </c>
      <c r="F503" s="55" t="s">
        <v>308</v>
      </c>
      <c r="H503" s="57" t="n">
        <v>8.02</v>
      </c>
      <c r="I503" s="28" t="n">
        <v>24.52</v>
      </c>
      <c r="J503" s="28" t="n">
        <f aca="false">H503*I503</f>
        <v>196.6504</v>
      </c>
    </row>
    <row r="504" customFormat="false" ht="15" hidden="false" customHeight="false" outlineLevel="0" collapsed="false">
      <c r="B504" s="1" t="s">
        <v>656</v>
      </c>
      <c r="F504" s="55" t="s">
        <v>204</v>
      </c>
      <c r="H504" s="57" t="n">
        <v>0.232</v>
      </c>
      <c r="I504" s="1" t="n">
        <v>6.14</v>
      </c>
      <c r="J504" s="28" t="n">
        <f aca="false">H504*I504</f>
        <v>1.42448</v>
      </c>
    </row>
    <row r="505" customFormat="false" ht="15" hidden="false" customHeight="false" outlineLevel="0" collapsed="false">
      <c r="B505" s="1" t="s">
        <v>666</v>
      </c>
      <c r="F505" s="55" t="s">
        <v>440</v>
      </c>
      <c r="H505" s="57" t="n">
        <v>0.4</v>
      </c>
      <c r="I505" s="1" t="n">
        <v>13.93</v>
      </c>
      <c r="J505" s="28" t="n">
        <f aca="false">H505*I505</f>
        <v>5.572</v>
      </c>
    </row>
    <row r="506" customFormat="false" ht="15" hidden="false" customHeight="false" outlineLevel="0" collapsed="false">
      <c r="F506" s="55"/>
      <c r="H506" s="57"/>
      <c r="I506" s="28"/>
      <c r="J506" s="86" t="n">
        <f aca="false">SUM(J501:J505)</f>
        <v>254.76768</v>
      </c>
    </row>
    <row r="507" customFormat="false" ht="15" hidden="false" customHeight="false" outlineLevel="0" collapsed="false">
      <c r="B507" s="87" t="s">
        <v>310</v>
      </c>
    </row>
    <row r="508" customFormat="false" ht="15" hidden="false" customHeight="false" outlineLevel="0" collapsed="false">
      <c r="B508" s="1" t="s">
        <v>311</v>
      </c>
      <c r="F508" s="55" t="s">
        <v>312</v>
      </c>
      <c r="H508" s="57" t="n">
        <v>3</v>
      </c>
      <c r="I508" s="28" t="n">
        <f aca="false">J499</f>
        <v>86.176</v>
      </c>
      <c r="J508" s="28" t="n">
        <f aca="false">H508%*I508</f>
        <v>2.58528</v>
      </c>
    </row>
    <row r="509" customFormat="false" ht="15" hidden="false" customHeight="false" outlineLevel="0" collapsed="false">
      <c r="B509" s="1" t="s">
        <v>668</v>
      </c>
      <c r="F509" s="55" t="s">
        <v>338</v>
      </c>
      <c r="G509" s="56" t="n">
        <v>1</v>
      </c>
      <c r="H509" s="57" t="n">
        <f aca="false">G509*8/$D$493</f>
        <v>0.533333333333333</v>
      </c>
      <c r="I509" s="28" t="n">
        <v>25.63</v>
      </c>
      <c r="J509" s="28" t="n">
        <f aca="false">H509*I509</f>
        <v>13.6693333333333</v>
      </c>
    </row>
    <row r="510" customFormat="false" ht="15" hidden="false" customHeight="false" outlineLevel="0" collapsed="false">
      <c r="B510" s="1" t="s">
        <v>676</v>
      </c>
      <c r="F510" s="55" t="s">
        <v>338</v>
      </c>
      <c r="G510" s="56" t="n">
        <v>0.5</v>
      </c>
      <c r="H510" s="57" t="n">
        <f aca="false">G510*8/$D$493</f>
        <v>0.266666666666667</v>
      </c>
      <c r="I510" s="28" t="n">
        <v>7.07</v>
      </c>
      <c r="J510" s="28" t="n">
        <f aca="false">H510*I510</f>
        <v>1.88533333333333</v>
      </c>
    </row>
    <row r="511" customFormat="false" ht="15" hidden="false" customHeight="false" outlineLevel="0" collapsed="false">
      <c r="A511" s="60"/>
      <c r="B511" s="60"/>
      <c r="C511" s="60"/>
      <c r="D511" s="60"/>
      <c r="E511" s="60"/>
      <c r="F511" s="60"/>
      <c r="G511" s="60"/>
      <c r="H511" s="60"/>
      <c r="I511" s="60"/>
      <c r="J511" s="89" t="n">
        <f aca="false">SUM(J508:J510)</f>
        <v>18.1399466666667</v>
      </c>
    </row>
    <row r="513" customFormat="false" ht="15" hidden="false" customHeight="false" outlineLevel="0" collapsed="false">
      <c r="A513" s="82" t="s">
        <v>278</v>
      </c>
      <c r="B513" s="82" t="str">
        <f aca="false">ESTRUCTURA!A44</f>
        <v>02.03.06.02</v>
      </c>
      <c r="C513" s="82" t="s">
        <v>537</v>
      </c>
      <c r="D513" s="82"/>
    </row>
    <row r="514" customFormat="false" ht="15" hidden="false" customHeight="false" outlineLevel="0" collapsed="false">
      <c r="A514" s="82" t="s">
        <v>279</v>
      </c>
      <c r="B514" s="82" t="s">
        <v>280</v>
      </c>
      <c r="C514" s="84" t="s">
        <v>281</v>
      </c>
      <c r="D514" s="85" t="n">
        <v>35</v>
      </c>
      <c r="E514" s="84" t="s">
        <v>282</v>
      </c>
      <c r="F514" s="85" t="n">
        <f aca="false">D514</f>
        <v>35</v>
      </c>
      <c r="G514" s="82" t="s">
        <v>283</v>
      </c>
      <c r="I514" s="84" t="s">
        <v>134</v>
      </c>
      <c r="J514" s="86" t="n">
        <f aca="false">J520+J525+J528</f>
        <v>47.0115742857143</v>
      </c>
    </row>
    <row r="515" customFormat="false" ht="15" hidden="false" customHeight="false" outlineLevel="0" collapsed="false">
      <c r="A515" s="82" t="s">
        <v>284</v>
      </c>
      <c r="B515" s="82" t="s">
        <v>285</v>
      </c>
      <c r="F515" s="84" t="s">
        <v>123</v>
      </c>
      <c r="G515" s="84" t="s">
        <v>286</v>
      </c>
      <c r="H515" s="84" t="s">
        <v>287</v>
      </c>
      <c r="I515" s="84" t="s">
        <v>288</v>
      </c>
      <c r="J515" s="84" t="s">
        <v>289</v>
      </c>
    </row>
    <row r="516" customFormat="false" ht="15" hidden="false" customHeight="false" outlineLevel="0" collapsed="false">
      <c r="B516" s="87" t="s">
        <v>290</v>
      </c>
    </row>
    <row r="517" customFormat="false" ht="15" hidden="false" customHeight="false" outlineLevel="0" collapsed="false">
      <c r="B517" s="1" t="s">
        <v>291</v>
      </c>
      <c r="F517" s="55" t="s">
        <v>292</v>
      </c>
      <c r="G517" s="56" t="n">
        <v>2</v>
      </c>
      <c r="H517" s="57" t="n">
        <f aca="false">G517*8/$D$514</f>
        <v>0.457142857142857</v>
      </c>
      <c r="I517" s="28" t="n">
        <v>28.94</v>
      </c>
      <c r="J517" s="28" t="n">
        <f aca="false">H517*I517</f>
        <v>13.2297142857143</v>
      </c>
    </row>
    <row r="518" customFormat="false" ht="15" hidden="false" customHeight="false" outlineLevel="0" collapsed="false">
      <c r="B518" s="1" t="s">
        <v>293</v>
      </c>
      <c r="F518" s="55" t="s">
        <v>292</v>
      </c>
      <c r="G518" s="56" t="n">
        <v>1</v>
      </c>
      <c r="H518" s="57" t="n">
        <f aca="false">G518*8/$D$514</f>
        <v>0.228571428571429</v>
      </c>
      <c r="I518" s="28" t="n">
        <v>23.6</v>
      </c>
      <c r="J518" s="28" t="n">
        <f aca="false">H518*I518</f>
        <v>5.39428571428571</v>
      </c>
    </row>
    <row r="519" customFormat="false" ht="15" hidden="false" customHeight="false" outlineLevel="0" collapsed="false">
      <c r="B519" s="1" t="s">
        <v>294</v>
      </c>
      <c r="F519" s="55" t="s">
        <v>292</v>
      </c>
      <c r="G519" s="56" t="n">
        <v>1</v>
      </c>
      <c r="H519" s="57" t="n">
        <f aca="false">G519*8/$D$514</f>
        <v>0.228571428571429</v>
      </c>
      <c r="I519" s="28" t="n">
        <v>21.36</v>
      </c>
      <c r="J519" s="28" t="n">
        <f aca="false">H519*I519</f>
        <v>4.88228571428571</v>
      </c>
    </row>
    <row r="520" customFormat="false" ht="15" hidden="false" customHeight="false" outlineLevel="0" collapsed="false">
      <c r="F520" s="55"/>
      <c r="G520" s="56"/>
      <c r="H520" s="57"/>
      <c r="J520" s="86" t="n">
        <f aca="false">SUM(J517:J519)</f>
        <v>23.5062857142857</v>
      </c>
    </row>
    <row r="521" customFormat="false" ht="15" hidden="false" customHeight="false" outlineLevel="0" collapsed="false">
      <c r="B521" s="87" t="s">
        <v>654</v>
      </c>
      <c r="F521" s="55"/>
      <c r="G521" s="56"/>
      <c r="H521" s="57"/>
      <c r="J521" s="28"/>
    </row>
    <row r="522" customFormat="false" ht="15" hidden="false" customHeight="false" outlineLevel="0" collapsed="false">
      <c r="B522" s="1" t="s">
        <v>689</v>
      </c>
      <c r="F522" s="55" t="s">
        <v>297</v>
      </c>
      <c r="H522" s="57" t="n">
        <v>0.3</v>
      </c>
      <c r="I522" s="28" t="n">
        <v>2.64</v>
      </c>
      <c r="J522" s="28" t="n">
        <f aca="false">H522*I522</f>
        <v>0.792</v>
      </c>
    </row>
    <row r="523" customFormat="false" ht="15" hidden="false" customHeight="false" outlineLevel="0" collapsed="false">
      <c r="B523" s="1" t="s">
        <v>302</v>
      </c>
      <c r="F523" s="55" t="s">
        <v>297</v>
      </c>
      <c r="H523" s="57" t="n">
        <v>0.31</v>
      </c>
      <c r="I523" s="28" t="n">
        <v>5.51</v>
      </c>
      <c r="J523" s="28" t="n">
        <f aca="false">H523*I523</f>
        <v>1.7081</v>
      </c>
    </row>
    <row r="524" customFormat="false" ht="15" hidden="false" customHeight="false" outlineLevel="0" collapsed="false">
      <c r="B524" s="1" t="s">
        <v>670</v>
      </c>
      <c r="F524" s="55" t="s">
        <v>306</v>
      </c>
      <c r="H524" s="57" t="n">
        <v>3.5</v>
      </c>
      <c r="I524" s="28" t="n">
        <v>5.8</v>
      </c>
      <c r="J524" s="28" t="n">
        <f aca="false">H524*I524</f>
        <v>20.3</v>
      </c>
    </row>
    <row r="525" customFormat="false" ht="15" hidden="false" customHeight="false" outlineLevel="0" collapsed="false">
      <c r="F525" s="55"/>
      <c r="H525" s="57"/>
      <c r="I525" s="28"/>
      <c r="J525" s="86" t="n">
        <f aca="false">SUM(J522:J524)</f>
        <v>22.8001</v>
      </c>
    </row>
    <row r="526" customFormat="false" ht="15" hidden="false" customHeight="false" outlineLevel="0" collapsed="false">
      <c r="B526" s="87" t="s">
        <v>310</v>
      </c>
    </row>
    <row r="527" customFormat="false" ht="15" hidden="false" customHeight="false" outlineLevel="0" collapsed="false">
      <c r="B527" s="1" t="s">
        <v>311</v>
      </c>
      <c r="F527" s="55" t="s">
        <v>312</v>
      </c>
      <c r="H527" s="57" t="n">
        <v>3</v>
      </c>
      <c r="I527" s="28" t="n">
        <f aca="false">J520</f>
        <v>23.5062857142857</v>
      </c>
      <c r="J527" s="28" t="n">
        <f aca="false">H527%*I527</f>
        <v>0.705188571428571</v>
      </c>
    </row>
    <row r="528" customFormat="false" ht="15" hidden="false" customHeight="false" outlineLevel="0" collapsed="false">
      <c r="A528" s="60"/>
      <c r="B528" s="60"/>
      <c r="C528" s="60"/>
      <c r="D528" s="60"/>
      <c r="E528" s="60"/>
      <c r="F528" s="60"/>
      <c r="G528" s="60"/>
      <c r="H528" s="60"/>
      <c r="I528" s="60"/>
      <c r="J528" s="89" t="n">
        <f aca="false">SUM(J527)</f>
        <v>0.705188571428571</v>
      </c>
    </row>
    <row r="530" customFormat="false" ht="15" hidden="false" customHeight="false" outlineLevel="0" collapsed="false">
      <c r="A530" s="82" t="s">
        <v>278</v>
      </c>
      <c r="B530" s="82" t="str">
        <f aca="false">ESTRUCTURA!A45</f>
        <v>02.03.06.03</v>
      </c>
      <c r="C530" s="82" t="s">
        <v>539</v>
      </c>
      <c r="D530" s="82"/>
    </row>
    <row r="531" customFormat="false" ht="15" hidden="false" customHeight="false" outlineLevel="0" collapsed="false">
      <c r="A531" s="82" t="s">
        <v>279</v>
      </c>
      <c r="B531" s="82" t="s">
        <v>280</v>
      </c>
      <c r="C531" s="84" t="s">
        <v>281</v>
      </c>
      <c r="D531" s="85" t="n">
        <v>250</v>
      </c>
      <c r="E531" s="84" t="s">
        <v>282</v>
      </c>
      <c r="F531" s="85" t="n">
        <f aca="false">D531</f>
        <v>250</v>
      </c>
      <c r="G531" s="82" t="s">
        <v>283</v>
      </c>
      <c r="I531" s="84" t="s">
        <v>134</v>
      </c>
      <c r="J531" s="86" t="n">
        <f aca="false">J536+J540+J544</f>
        <v>5.5639628445</v>
      </c>
    </row>
    <row r="532" customFormat="false" ht="15" hidden="false" customHeight="false" outlineLevel="0" collapsed="false">
      <c r="A532" s="82" t="s">
        <v>284</v>
      </c>
      <c r="B532" s="82" t="s">
        <v>285</v>
      </c>
      <c r="F532" s="84" t="s">
        <v>123</v>
      </c>
      <c r="G532" s="84" t="s">
        <v>286</v>
      </c>
      <c r="H532" s="84" t="s">
        <v>287</v>
      </c>
      <c r="I532" s="84" t="s">
        <v>288</v>
      </c>
      <c r="J532" s="84" t="s">
        <v>289</v>
      </c>
    </row>
    <row r="533" customFormat="false" ht="15" hidden="false" customHeight="false" outlineLevel="0" collapsed="false">
      <c r="B533" s="87" t="s">
        <v>290</v>
      </c>
    </row>
    <row r="534" customFormat="false" ht="15" hidden="false" customHeight="false" outlineLevel="0" collapsed="false">
      <c r="B534" s="1" t="s">
        <v>291</v>
      </c>
      <c r="F534" s="55" t="s">
        <v>292</v>
      </c>
      <c r="G534" s="56" t="n">
        <v>1</v>
      </c>
      <c r="H534" s="57" t="n">
        <f aca="false">G534*8/$D$531</f>
        <v>0.032</v>
      </c>
      <c r="I534" s="28" t="n">
        <v>28.94</v>
      </c>
      <c r="J534" s="28" t="n">
        <f aca="false">H534*I534</f>
        <v>0.92608</v>
      </c>
    </row>
    <row r="535" customFormat="false" ht="15" hidden="false" customHeight="false" outlineLevel="0" collapsed="false">
      <c r="B535" s="1" t="s">
        <v>680</v>
      </c>
      <c r="F535" s="55" t="s">
        <v>292</v>
      </c>
      <c r="G535" s="56" t="n">
        <v>1</v>
      </c>
      <c r="H535" s="57" t="n">
        <f aca="false">G535*8/$D$531</f>
        <v>0.032</v>
      </c>
      <c r="I535" s="28" t="n">
        <v>23.6</v>
      </c>
      <c r="J535" s="28" t="n">
        <f aca="false">H535*I535</f>
        <v>0.7552</v>
      </c>
    </row>
    <row r="536" customFormat="false" ht="15" hidden="false" customHeight="false" outlineLevel="0" collapsed="false">
      <c r="F536" s="55"/>
      <c r="G536" s="56"/>
      <c r="J536" s="86" t="n">
        <f aca="false">SUM(J534:J535)</f>
        <v>1.68128</v>
      </c>
    </row>
    <row r="537" customFormat="false" ht="15" hidden="false" customHeight="false" outlineLevel="0" collapsed="false">
      <c r="B537" s="87" t="s">
        <v>295</v>
      </c>
      <c r="F537" s="55"/>
      <c r="G537" s="56"/>
      <c r="H537" s="99"/>
    </row>
    <row r="538" customFormat="false" ht="15" hidden="false" customHeight="false" outlineLevel="0" collapsed="false">
      <c r="B538" s="1" t="s">
        <v>296</v>
      </c>
      <c r="F538" s="55" t="s">
        <v>297</v>
      </c>
      <c r="G538" s="56"/>
      <c r="H538" s="99" t="n">
        <v>0.03</v>
      </c>
      <c r="I538" s="28" t="n">
        <v>2.64</v>
      </c>
      <c r="J538" s="28" t="n">
        <f aca="false">H538*I538</f>
        <v>0.0792</v>
      </c>
    </row>
    <row r="539" customFormat="false" ht="15" hidden="false" customHeight="false" outlineLevel="0" collapsed="false">
      <c r="B539" s="1" t="s">
        <v>681</v>
      </c>
      <c r="F539" s="55" t="s">
        <v>297</v>
      </c>
      <c r="G539" s="56"/>
      <c r="H539" s="99" t="n">
        <v>1.05</v>
      </c>
      <c r="I539" s="28" t="n">
        <f aca="false">1012.71*3.379/1000</f>
        <v>3.42194709</v>
      </c>
      <c r="J539" s="28" t="n">
        <f aca="false">H539*I539</f>
        <v>3.5930444445</v>
      </c>
    </row>
    <row r="540" customFormat="false" ht="15" hidden="false" customHeight="false" outlineLevel="0" collapsed="false">
      <c r="F540" s="55"/>
      <c r="G540" s="56"/>
      <c r="J540" s="86" t="n">
        <f aca="false">SUM(J538:J539)</f>
        <v>3.6722444445</v>
      </c>
    </row>
    <row r="541" customFormat="false" ht="15" hidden="false" customHeight="false" outlineLevel="0" collapsed="false">
      <c r="B541" s="87" t="s">
        <v>318</v>
      </c>
      <c r="F541" s="55"/>
      <c r="G541" s="56"/>
    </row>
    <row r="542" customFormat="false" ht="15" hidden="false" customHeight="false" outlineLevel="0" collapsed="false">
      <c r="B542" s="1" t="s">
        <v>311</v>
      </c>
      <c r="F542" s="55" t="s">
        <v>312</v>
      </c>
      <c r="H542" s="57" t="n">
        <v>3</v>
      </c>
      <c r="I542" s="28" t="n">
        <f aca="false">J536</f>
        <v>1.68128</v>
      </c>
      <c r="J542" s="28" t="n">
        <f aca="false">H542%*I542</f>
        <v>0.0504384</v>
      </c>
    </row>
    <row r="543" customFormat="false" ht="15" hidden="false" customHeight="false" outlineLevel="0" collapsed="false">
      <c r="B543" s="1" t="s">
        <v>682</v>
      </c>
      <c r="F543" s="55" t="s">
        <v>292</v>
      </c>
      <c r="G543" s="56" t="n">
        <v>1</v>
      </c>
      <c r="H543" s="57" t="n">
        <f aca="false">G543*8/$D$531</f>
        <v>0.032</v>
      </c>
      <c r="I543" s="46" t="n">
        <v>5</v>
      </c>
      <c r="J543" s="28" t="n">
        <f aca="false">H543*I543</f>
        <v>0.16</v>
      </c>
    </row>
    <row r="544" customFormat="false" ht="15" hidden="false" customHeight="false" outlineLevel="0" collapsed="false">
      <c r="A544" s="60"/>
      <c r="B544" s="60"/>
      <c r="C544" s="60"/>
      <c r="D544" s="60"/>
      <c r="E544" s="60"/>
      <c r="F544" s="60"/>
      <c r="G544" s="60"/>
      <c r="H544" s="60"/>
      <c r="I544" s="60"/>
      <c r="J544" s="89" t="n">
        <f aca="false">SUM(J542:J543)</f>
        <v>0.2104384</v>
      </c>
    </row>
    <row r="546" customFormat="false" ht="15" hidden="false" customHeight="false" outlineLevel="0" collapsed="false">
      <c r="A546" s="82" t="s">
        <v>278</v>
      </c>
      <c r="B546" s="82" t="str">
        <f aca="false">ESTRUCTURA!A47</f>
        <v>02.03.07.01</v>
      </c>
      <c r="C546" s="82" t="s">
        <v>543</v>
      </c>
      <c r="D546" s="82"/>
      <c r="M546" s="82"/>
    </row>
    <row r="547" customFormat="false" ht="15" hidden="false" customHeight="false" outlineLevel="0" collapsed="false">
      <c r="A547" s="82" t="s">
        <v>279</v>
      </c>
      <c r="B547" s="82" t="s">
        <v>417</v>
      </c>
      <c r="C547" s="84" t="s">
        <v>281</v>
      </c>
      <c r="D547" s="85" t="n">
        <v>22</v>
      </c>
      <c r="E547" s="84" t="s">
        <v>282</v>
      </c>
      <c r="F547" s="85" t="n">
        <f aca="false">D547</f>
        <v>22</v>
      </c>
      <c r="G547" s="82" t="s">
        <v>283</v>
      </c>
      <c r="I547" s="84" t="s">
        <v>204</v>
      </c>
      <c r="J547" s="86" t="n">
        <f aca="false">J553+J560+J566</f>
        <v>392.537930909091</v>
      </c>
    </row>
    <row r="548" customFormat="false" ht="15" hidden="false" customHeight="false" outlineLevel="0" collapsed="false">
      <c r="A548" s="82" t="s">
        <v>284</v>
      </c>
      <c r="B548" s="82" t="s">
        <v>285</v>
      </c>
      <c r="F548" s="84" t="s">
        <v>123</v>
      </c>
      <c r="G548" s="84" t="s">
        <v>286</v>
      </c>
      <c r="H548" s="84" t="s">
        <v>287</v>
      </c>
      <c r="I548" s="84" t="s">
        <v>288</v>
      </c>
      <c r="J548" s="84" t="s">
        <v>289</v>
      </c>
    </row>
    <row r="549" customFormat="false" ht="15" hidden="false" customHeight="false" outlineLevel="0" collapsed="false">
      <c r="B549" s="87" t="s">
        <v>290</v>
      </c>
    </row>
    <row r="550" customFormat="false" ht="15" hidden="false" customHeight="false" outlineLevel="0" collapsed="false">
      <c r="B550" s="1" t="s">
        <v>291</v>
      </c>
      <c r="F550" s="55" t="s">
        <v>292</v>
      </c>
      <c r="G550" s="56" t="n">
        <v>2</v>
      </c>
      <c r="H550" s="57" t="n">
        <f aca="false">G550*8/$D$547</f>
        <v>0.727272727272727</v>
      </c>
      <c r="I550" s="28" t="n">
        <v>28.94</v>
      </c>
      <c r="J550" s="28" t="n">
        <f aca="false">H550*I550</f>
        <v>21.0472727272727</v>
      </c>
      <c r="M550" s="82"/>
    </row>
    <row r="551" customFormat="false" ht="15" hidden="false" customHeight="false" outlineLevel="0" collapsed="false">
      <c r="B551" s="1" t="s">
        <v>293</v>
      </c>
      <c r="F551" s="55" t="s">
        <v>292</v>
      </c>
      <c r="G551" s="56" t="n">
        <v>1</v>
      </c>
      <c r="H551" s="57" t="n">
        <f aca="false">G551*8/$D$547</f>
        <v>0.363636363636364</v>
      </c>
      <c r="I551" s="28" t="n">
        <v>23.6</v>
      </c>
      <c r="J551" s="28" t="n">
        <f aca="false">H551*I551</f>
        <v>8.58181818181818</v>
      </c>
      <c r="M551" s="82"/>
    </row>
    <row r="552" customFormat="false" ht="15" hidden="false" customHeight="false" outlineLevel="0" collapsed="false">
      <c r="B552" s="1" t="s">
        <v>294</v>
      </c>
      <c r="F552" s="55" t="s">
        <v>292</v>
      </c>
      <c r="G552" s="56" t="n">
        <v>6</v>
      </c>
      <c r="H552" s="57" t="n">
        <f aca="false">G552*8/$D$547</f>
        <v>2.18181818181818</v>
      </c>
      <c r="I552" s="28" t="n">
        <v>21.36</v>
      </c>
      <c r="J552" s="28" t="n">
        <f aca="false">H552*I552</f>
        <v>46.6036363636364</v>
      </c>
      <c r="M552" s="82"/>
    </row>
    <row r="553" customFormat="false" ht="15" hidden="false" customHeight="false" outlineLevel="0" collapsed="false">
      <c r="F553" s="55"/>
      <c r="G553" s="56"/>
      <c r="H553" s="57"/>
      <c r="J553" s="86" t="n">
        <f aca="false">SUM(J550:J552)</f>
        <v>76.2327272727273</v>
      </c>
      <c r="M553" s="82"/>
    </row>
    <row r="554" customFormat="false" ht="15" hidden="false" customHeight="false" outlineLevel="0" collapsed="false">
      <c r="B554" s="87" t="s">
        <v>654</v>
      </c>
      <c r="F554" s="55"/>
      <c r="G554" s="56"/>
      <c r="H554" s="57"/>
      <c r="J554" s="28"/>
      <c r="M554" s="82"/>
    </row>
    <row r="555" customFormat="false" ht="15" hidden="false" customHeight="false" outlineLevel="0" collapsed="false">
      <c r="B555" s="1" t="s">
        <v>673</v>
      </c>
      <c r="F555" s="55" t="s">
        <v>204</v>
      </c>
      <c r="H555" s="57" t="n">
        <v>0.53</v>
      </c>
      <c r="I555" s="28" t="n">
        <v>55.08</v>
      </c>
      <c r="J555" s="28" t="n">
        <f aca="false">H555*I555</f>
        <v>29.1924</v>
      </c>
      <c r="M555" s="82"/>
    </row>
    <row r="556" customFormat="false" ht="15" hidden="false" customHeight="false" outlineLevel="0" collapsed="false">
      <c r="B556" s="1" t="s">
        <v>674</v>
      </c>
      <c r="F556" s="55" t="s">
        <v>204</v>
      </c>
      <c r="H556" s="57" t="n">
        <v>0.52</v>
      </c>
      <c r="I556" s="28" t="n">
        <v>47</v>
      </c>
      <c r="J556" s="28" t="n">
        <f aca="false">H556*I556</f>
        <v>24.44</v>
      </c>
      <c r="M556" s="82"/>
    </row>
    <row r="557" customFormat="false" ht="15" hidden="false" customHeight="false" outlineLevel="0" collapsed="false">
      <c r="B557" s="1" t="s">
        <v>307</v>
      </c>
      <c r="F557" s="55" t="s">
        <v>308</v>
      </c>
      <c r="H557" s="57" t="n">
        <v>9.73</v>
      </c>
      <c r="I557" s="28" t="n">
        <v>24.52</v>
      </c>
      <c r="J557" s="28" t="n">
        <f aca="false">H557*I557</f>
        <v>238.5796</v>
      </c>
      <c r="M557" s="82"/>
    </row>
    <row r="558" customFormat="false" ht="15" hidden="false" customHeight="false" outlineLevel="0" collapsed="false">
      <c r="B558" s="1" t="s">
        <v>656</v>
      </c>
      <c r="F558" s="55" t="s">
        <v>204</v>
      </c>
      <c r="H558" s="57" t="n">
        <v>0.186</v>
      </c>
      <c r="I558" s="1" t="n">
        <v>6.14</v>
      </c>
      <c r="J558" s="28" t="n">
        <f aca="false">H558*I558</f>
        <v>1.14204</v>
      </c>
      <c r="M558" s="82"/>
    </row>
    <row r="559" customFormat="false" ht="15" hidden="false" customHeight="false" outlineLevel="0" collapsed="false">
      <c r="B559" s="1" t="s">
        <v>666</v>
      </c>
      <c r="F559" s="55" t="s">
        <v>440</v>
      </c>
      <c r="H559" s="57" t="n">
        <v>0.2</v>
      </c>
      <c r="I559" s="1" t="n">
        <v>13.93</v>
      </c>
      <c r="J559" s="28" t="n">
        <f aca="false">H559*I559</f>
        <v>2.786</v>
      </c>
      <c r="M559" s="82"/>
    </row>
    <row r="560" customFormat="false" ht="15" hidden="false" customHeight="false" outlineLevel="0" collapsed="false">
      <c r="F560" s="55"/>
      <c r="H560" s="57"/>
      <c r="I560" s="28"/>
      <c r="J560" s="86" t="n">
        <f aca="false">SUM(J555:J559)</f>
        <v>296.14004</v>
      </c>
      <c r="M560" s="82"/>
    </row>
    <row r="561" customFormat="false" ht="15" hidden="false" customHeight="false" outlineLevel="0" collapsed="false">
      <c r="B561" s="87" t="s">
        <v>310</v>
      </c>
      <c r="M561" s="82"/>
    </row>
    <row r="562" customFormat="false" ht="15" hidden="false" customHeight="false" outlineLevel="0" collapsed="false">
      <c r="B562" s="1" t="s">
        <v>311</v>
      </c>
      <c r="F562" s="55" t="s">
        <v>312</v>
      </c>
      <c r="H562" s="57" t="n">
        <v>3</v>
      </c>
      <c r="I562" s="28" t="n">
        <f aca="false">J553</f>
        <v>76.2327272727273</v>
      </c>
      <c r="J562" s="28" t="n">
        <f aca="false">H562%*I562</f>
        <v>2.28698181818182</v>
      </c>
    </row>
    <row r="563" customFormat="false" ht="15" hidden="false" customHeight="false" outlineLevel="0" collapsed="false">
      <c r="B563" s="1" t="s">
        <v>668</v>
      </c>
      <c r="F563" s="55" t="s">
        <v>338</v>
      </c>
      <c r="G563" s="56" t="n">
        <v>1</v>
      </c>
      <c r="H563" s="57" t="n">
        <f aca="false">G563*8/$D$547</f>
        <v>0.363636363636364</v>
      </c>
      <c r="I563" s="28" t="n">
        <v>25.63</v>
      </c>
      <c r="J563" s="28" t="n">
        <f aca="false">H563*I563</f>
        <v>9.32</v>
      </c>
    </row>
    <row r="564" customFormat="false" ht="15" hidden="false" customHeight="false" outlineLevel="0" collapsed="false">
      <c r="B564" s="1" t="s">
        <v>691</v>
      </c>
      <c r="F564" s="55" t="s">
        <v>338</v>
      </c>
      <c r="G564" s="56" t="n">
        <v>1</v>
      </c>
      <c r="H564" s="57" t="n">
        <f aca="false">G564*8/$D$547</f>
        <v>0.363636363636364</v>
      </c>
      <c r="I564" s="46" t="n">
        <v>20</v>
      </c>
      <c r="J564" s="28" t="n">
        <f aca="false">H564*I564</f>
        <v>7.27272727272727</v>
      </c>
    </row>
    <row r="565" customFormat="false" ht="15" hidden="false" customHeight="false" outlineLevel="0" collapsed="false">
      <c r="B565" s="1" t="s">
        <v>676</v>
      </c>
      <c r="F565" s="55" t="s">
        <v>338</v>
      </c>
      <c r="G565" s="56" t="n">
        <v>0.5</v>
      </c>
      <c r="H565" s="57" t="n">
        <f aca="false">G565*8/$D$547</f>
        <v>0.181818181818182</v>
      </c>
      <c r="I565" s="1" t="n">
        <v>7.07</v>
      </c>
      <c r="J565" s="28" t="n">
        <f aca="false">H565*I565</f>
        <v>1.28545454545455</v>
      </c>
    </row>
    <row r="566" customFormat="false" ht="15" hidden="false" customHeight="false" outlineLevel="0" collapsed="false">
      <c r="A566" s="60"/>
      <c r="B566" s="60"/>
      <c r="C566" s="60"/>
      <c r="D566" s="60"/>
      <c r="E566" s="60"/>
      <c r="F566" s="60"/>
      <c r="G566" s="60"/>
      <c r="H566" s="60"/>
      <c r="I566" s="60"/>
      <c r="J566" s="89" t="n">
        <f aca="false">SUM(J562:J565)</f>
        <v>20.1651636363636</v>
      </c>
    </row>
    <row r="568" customFormat="false" ht="15" hidden="false" customHeight="false" outlineLevel="0" collapsed="false">
      <c r="A568" s="82" t="s">
        <v>278</v>
      </c>
      <c r="B568" s="82" t="str">
        <f aca="false">ESTRUCTURA!A48</f>
        <v>02.03.07.02</v>
      </c>
      <c r="C568" s="82" t="s">
        <v>545</v>
      </c>
      <c r="D568" s="82"/>
    </row>
    <row r="569" customFormat="false" ht="15" hidden="false" customHeight="false" outlineLevel="0" collapsed="false">
      <c r="A569" s="82" t="s">
        <v>279</v>
      </c>
      <c r="B569" s="82" t="s">
        <v>280</v>
      </c>
      <c r="C569" s="84" t="s">
        <v>281</v>
      </c>
      <c r="D569" s="85" t="n">
        <v>35</v>
      </c>
      <c r="E569" s="84" t="s">
        <v>282</v>
      </c>
      <c r="F569" s="85" t="n">
        <f aca="false">D569</f>
        <v>35</v>
      </c>
      <c r="G569" s="82" t="s">
        <v>283</v>
      </c>
      <c r="I569" s="84" t="s">
        <v>134</v>
      </c>
      <c r="J569" s="86" t="n">
        <f aca="false">J574+J579+J582</f>
        <v>50.7905142857143</v>
      </c>
    </row>
    <row r="570" customFormat="false" ht="15" hidden="false" customHeight="false" outlineLevel="0" collapsed="false">
      <c r="A570" s="82" t="s">
        <v>284</v>
      </c>
      <c r="B570" s="82" t="s">
        <v>285</v>
      </c>
      <c r="F570" s="84" t="s">
        <v>123</v>
      </c>
      <c r="G570" s="84" t="s">
        <v>286</v>
      </c>
      <c r="H570" s="84" t="s">
        <v>287</v>
      </c>
      <c r="I570" s="84" t="s">
        <v>288</v>
      </c>
      <c r="J570" s="84" t="s">
        <v>289</v>
      </c>
    </row>
    <row r="571" customFormat="false" ht="15" hidden="false" customHeight="false" outlineLevel="0" collapsed="false">
      <c r="B571" s="87" t="s">
        <v>290</v>
      </c>
    </row>
    <row r="572" customFormat="false" ht="15" hidden="false" customHeight="false" outlineLevel="0" collapsed="false">
      <c r="B572" s="1" t="s">
        <v>291</v>
      </c>
      <c r="F572" s="55" t="s">
        <v>292</v>
      </c>
      <c r="G572" s="56" t="n">
        <v>2</v>
      </c>
      <c r="H572" s="57" t="n">
        <f aca="false">G572*8/$D$569</f>
        <v>0.457142857142857</v>
      </c>
      <c r="I572" s="28" t="n">
        <v>28.94</v>
      </c>
      <c r="J572" s="28" t="n">
        <f aca="false">H572*I572</f>
        <v>13.2297142857143</v>
      </c>
    </row>
    <row r="573" customFormat="false" ht="15" hidden="false" customHeight="false" outlineLevel="0" collapsed="false">
      <c r="B573" s="1" t="s">
        <v>294</v>
      </c>
      <c r="F573" s="55" t="s">
        <v>292</v>
      </c>
      <c r="G573" s="56" t="n">
        <v>2</v>
      </c>
      <c r="H573" s="57" t="n">
        <f aca="false">G573*8/$D$569</f>
        <v>0.457142857142857</v>
      </c>
      <c r="I573" s="28" t="n">
        <v>21.36</v>
      </c>
      <c r="J573" s="28" t="n">
        <f aca="false">H573*I573</f>
        <v>9.76457142857143</v>
      </c>
    </row>
    <row r="574" customFormat="false" ht="15" hidden="false" customHeight="false" outlineLevel="0" collapsed="false">
      <c r="F574" s="55"/>
      <c r="G574" s="56"/>
      <c r="H574" s="57"/>
      <c r="I574" s="28"/>
      <c r="J574" s="86" t="n">
        <f aca="false">SUM(J572:J573)</f>
        <v>22.9942857142857</v>
      </c>
    </row>
    <row r="575" customFormat="false" ht="15" hidden="false" customHeight="false" outlineLevel="0" collapsed="false">
      <c r="B575" s="87" t="s">
        <v>654</v>
      </c>
      <c r="F575" s="55"/>
      <c r="G575" s="56"/>
      <c r="H575" s="57"/>
      <c r="J575" s="28"/>
    </row>
    <row r="576" customFormat="false" ht="15" hidden="false" customHeight="false" outlineLevel="0" collapsed="false">
      <c r="B576" s="1" t="s">
        <v>689</v>
      </c>
      <c r="F576" s="55" t="s">
        <v>297</v>
      </c>
      <c r="H576" s="57" t="n">
        <v>0.1</v>
      </c>
      <c r="I576" s="28" t="n">
        <v>2.64</v>
      </c>
      <c r="J576" s="28" t="n">
        <f aca="false">H576*I576</f>
        <v>0.264</v>
      </c>
    </row>
    <row r="577" customFormat="false" ht="15" hidden="false" customHeight="false" outlineLevel="0" collapsed="false">
      <c r="B577" s="1" t="s">
        <v>302</v>
      </c>
      <c r="F577" s="55" t="s">
        <v>297</v>
      </c>
      <c r="H577" s="57" t="n">
        <v>0.24</v>
      </c>
      <c r="I577" s="28" t="n">
        <v>5.51</v>
      </c>
      <c r="J577" s="28" t="n">
        <f aca="false">H577*I577</f>
        <v>1.3224</v>
      </c>
    </row>
    <row r="578" customFormat="false" ht="15" hidden="false" customHeight="false" outlineLevel="0" collapsed="false">
      <c r="B578" s="1" t="s">
        <v>670</v>
      </c>
      <c r="F578" s="55" t="s">
        <v>306</v>
      </c>
      <c r="H578" s="57" t="n">
        <v>4.4</v>
      </c>
      <c r="I578" s="28" t="n">
        <v>5.8</v>
      </c>
      <c r="J578" s="28" t="n">
        <f aca="false">H578*I578</f>
        <v>25.52</v>
      </c>
    </row>
    <row r="579" customFormat="false" ht="15" hidden="false" customHeight="false" outlineLevel="0" collapsed="false">
      <c r="F579" s="55"/>
      <c r="H579" s="57"/>
      <c r="I579" s="28"/>
      <c r="J579" s="86" t="n">
        <f aca="false">SUM(J576:J578)</f>
        <v>27.1064</v>
      </c>
    </row>
    <row r="580" customFormat="false" ht="15" hidden="false" customHeight="false" outlineLevel="0" collapsed="false">
      <c r="B580" s="87" t="s">
        <v>310</v>
      </c>
    </row>
    <row r="581" customFormat="false" ht="15" hidden="false" customHeight="false" outlineLevel="0" collapsed="false">
      <c r="B581" s="1" t="s">
        <v>311</v>
      </c>
      <c r="F581" s="55" t="s">
        <v>312</v>
      </c>
      <c r="H581" s="57" t="n">
        <v>3</v>
      </c>
      <c r="I581" s="28" t="n">
        <f aca="false">J574</f>
        <v>22.9942857142857</v>
      </c>
      <c r="J581" s="28" t="n">
        <f aca="false">H581%*I581</f>
        <v>0.689828571428571</v>
      </c>
    </row>
    <row r="582" customFormat="false" ht="15" hidden="false" customHeight="false" outlineLevel="0" collapsed="false">
      <c r="A582" s="60"/>
      <c r="B582" s="60"/>
      <c r="C582" s="60"/>
      <c r="D582" s="60"/>
      <c r="E582" s="60"/>
      <c r="F582" s="60"/>
      <c r="G582" s="60"/>
      <c r="H582" s="60"/>
      <c r="I582" s="60"/>
      <c r="J582" s="89" t="n">
        <f aca="false">SUM(J581)</f>
        <v>0.689828571428571</v>
      </c>
    </row>
    <row r="584" customFormat="false" ht="15" hidden="false" customHeight="false" outlineLevel="0" collapsed="false">
      <c r="A584" s="82" t="s">
        <v>278</v>
      </c>
      <c r="B584" s="82" t="str">
        <f aca="false">ESTRUCTURA!A49</f>
        <v>02.03.07.03</v>
      </c>
      <c r="C584" s="82" t="s">
        <v>692</v>
      </c>
      <c r="D584" s="82"/>
    </row>
    <row r="585" customFormat="false" ht="15" hidden="false" customHeight="false" outlineLevel="0" collapsed="false">
      <c r="A585" s="82" t="s">
        <v>279</v>
      </c>
      <c r="B585" s="82" t="s">
        <v>679</v>
      </c>
      <c r="C585" s="84" t="s">
        <v>281</v>
      </c>
      <c r="D585" s="85" t="n">
        <v>250</v>
      </c>
      <c r="E585" s="84" t="s">
        <v>282</v>
      </c>
      <c r="F585" s="85" t="n">
        <f aca="false">D585</f>
        <v>250</v>
      </c>
      <c r="G585" s="82" t="s">
        <v>283</v>
      </c>
      <c r="I585" s="84" t="s">
        <v>297</v>
      </c>
      <c r="J585" s="86" t="n">
        <f aca="false">J590+J594+J598</f>
        <v>5.5639628445</v>
      </c>
    </row>
    <row r="586" customFormat="false" ht="15" hidden="false" customHeight="false" outlineLevel="0" collapsed="false">
      <c r="A586" s="82" t="s">
        <v>284</v>
      </c>
      <c r="B586" s="82" t="s">
        <v>285</v>
      </c>
      <c r="F586" s="84" t="s">
        <v>123</v>
      </c>
      <c r="G586" s="84" t="s">
        <v>286</v>
      </c>
      <c r="H586" s="84" t="s">
        <v>287</v>
      </c>
      <c r="I586" s="84" t="s">
        <v>288</v>
      </c>
      <c r="J586" s="84" t="s">
        <v>289</v>
      </c>
    </row>
    <row r="587" customFormat="false" ht="15" hidden="false" customHeight="false" outlineLevel="0" collapsed="false">
      <c r="B587" s="87" t="s">
        <v>290</v>
      </c>
    </row>
    <row r="588" customFormat="false" ht="15" hidden="false" customHeight="false" outlineLevel="0" collapsed="false">
      <c r="B588" s="1" t="s">
        <v>291</v>
      </c>
      <c r="F588" s="55" t="s">
        <v>292</v>
      </c>
      <c r="G588" s="56" t="n">
        <v>1</v>
      </c>
      <c r="H588" s="99" t="n">
        <f aca="false">G588*8/$D$585</f>
        <v>0.032</v>
      </c>
      <c r="I588" s="28" t="n">
        <v>28.94</v>
      </c>
      <c r="J588" s="28" t="n">
        <f aca="false">H588*I588</f>
        <v>0.92608</v>
      </c>
    </row>
    <row r="589" customFormat="false" ht="15" hidden="false" customHeight="false" outlineLevel="0" collapsed="false">
      <c r="B589" s="1" t="s">
        <v>680</v>
      </c>
      <c r="F589" s="55" t="s">
        <v>292</v>
      </c>
      <c r="G589" s="56" t="n">
        <v>1</v>
      </c>
      <c r="H589" s="99" t="n">
        <f aca="false">G589*8/$D$585</f>
        <v>0.032</v>
      </c>
      <c r="I589" s="28" t="n">
        <v>23.6</v>
      </c>
      <c r="J589" s="28" t="n">
        <f aca="false">H589*I589</f>
        <v>0.7552</v>
      </c>
    </row>
    <row r="590" customFormat="false" ht="15" hidden="false" customHeight="false" outlineLevel="0" collapsed="false">
      <c r="F590" s="55"/>
      <c r="G590" s="56"/>
      <c r="J590" s="86" t="n">
        <f aca="false">SUM(J588:J589)</f>
        <v>1.68128</v>
      </c>
    </row>
    <row r="591" customFormat="false" ht="15" hidden="false" customHeight="false" outlineLevel="0" collapsed="false">
      <c r="B591" s="87" t="s">
        <v>295</v>
      </c>
      <c r="F591" s="55"/>
      <c r="G591" s="56"/>
      <c r="H591" s="99"/>
    </row>
    <row r="592" customFormat="false" ht="15" hidden="false" customHeight="false" outlineLevel="0" collapsed="false">
      <c r="B592" s="1" t="s">
        <v>296</v>
      </c>
      <c r="F592" s="55" t="s">
        <v>297</v>
      </c>
      <c r="G592" s="56"/>
      <c r="H592" s="99" t="n">
        <v>0.03</v>
      </c>
      <c r="I592" s="28" t="n">
        <v>2.64</v>
      </c>
      <c r="J592" s="28" t="n">
        <f aca="false">H592*I592</f>
        <v>0.0792</v>
      </c>
    </row>
    <row r="593" customFormat="false" ht="15" hidden="false" customHeight="false" outlineLevel="0" collapsed="false">
      <c r="B593" s="1" t="s">
        <v>681</v>
      </c>
      <c r="F593" s="55" t="s">
        <v>297</v>
      </c>
      <c r="G593" s="56"/>
      <c r="H593" s="99" t="n">
        <v>1.05</v>
      </c>
      <c r="I593" s="28" t="n">
        <f aca="false">1012.71*3.379/1000</f>
        <v>3.42194709</v>
      </c>
      <c r="J593" s="28" t="n">
        <f aca="false">H593*I593</f>
        <v>3.5930444445</v>
      </c>
    </row>
    <row r="594" customFormat="false" ht="15" hidden="false" customHeight="false" outlineLevel="0" collapsed="false">
      <c r="F594" s="55"/>
      <c r="G594" s="56"/>
      <c r="J594" s="86" t="n">
        <f aca="false">SUM(J592:J593)</f>
        <v>3.6722444445</v>
      </c>
    </row>
    <row r="595" customFormat="false" ht="15" hidden="false" customHeight="false" outlineLevel="0" collapsed="false">
      <c r="B595" s="87" t="s">
        <v>318</v>
      </c>
      <c r="F595" s="55"/>
      <c r="G595" s="56"/>
    </row>
    <row r="596" customFormat="false" ht="15" hidden="false" customHeight="false" outlineLevel="0" collapsed="false">
      <c r="B596" s="1" t="s">
        <v>311</v>
      </c>
      <c r="F596" s="55" t="s">
        <v>312</v>
      </c>
      <c r="H596" s="57" t="n">
        <v>3</v>
      </c>
      <c r="I596" s="28" t="n">
        <f aca="false">J590</f>
        <v>1.68128</v>
      </c>
      <c r="J596" s="28" t="n">
        <f aca="false">H596%*I596</f>
        <v>0.0504384</v>
      </c>
    </row>
    <row r="597" customFormat="false" ht="15" hidden="false" customHeight="false" outlineLevel="0" collapsed="false">
      <c r="B597" s="1" t="s">
        <v>682</v>
      </c>
      <c r="F597" s="55" t="s">
        <v>292</v>
      </c>
      <c r="G597" s="56" t="n">
        <v>1</v>
      </c>
      <c r="H597" s="99" t="n">
        <f aca="false">G597*8/$D$585</f>
        <v>0.032</v>
      </c>
      <c r="I597" s="46" t="n">
        <v>5</v>
      </c>
      <c r="J597" s="28" t="n">
        <f aca="false">H597*I597</f>
        <v>0.16</v>
      </c>
    </row>
    <row r="598" customFormat="false" ht="15" hidden="false" customHeight="false" outlineLevel="0" collapsed="false">
      <c r="A598" s="60"/>
      <c r="B598" s="60"/>
      <c r="C598" s="60"/>
      <c r="D598" s="60"/>
      <c r="E598" s="60"/>
      <c r="F598" s="60"/>
      <c r="G598" s="60"/>
      <c r="H598" s="60"/>
      <c r="I598" s="60"/>
      <c r="J598" s="89" t="n">
        <f aca="false">SUM(J596:J597)</f>
        <v>0.2104384</v>
      </c>
    </row>
    <row r="599" customFormat="false" ht="15" hidden="false" customHeight="false" outlineLevel="0" collapsed="false">
      <c r="J599" s="86"/>
    </row>
    <row r="600" customFormat="false" ht="15" hidden="false" customHeight="false" outlineLevel="0" collapsed="false">
      <c r="A600" s="82" t="s">
        <v>278</v>
      </c>
      <c r="B600" s="82" t="str">
        <f aca="false">ESTRUCTURA!A51</f>
        <v>02.03.08.01</v>
      </c>
      <c r="C600" s="82" t="s">
        <v>693</v>
      </c>
      <c r="D600" s="82"/>
    </row>
    <row r="601" customFormat="false" ht="15" hidden="false" customHeight="false" outlineLevel="0" collapsed="false">
      <c r="A601" s="82" t="s">
        <v>279</v>
      </c>
      <c r="B601" s="82" t="s">
        <v>417</v>
      </c>
      <c r="C601" s="84" t="s">
        <v>281</v>
      </c>
      <c r="D601" s="85" t="n">
        <v>25</v>
      </c>
      <c r="E601" s="84" t="s">
        <v>282</v>
      </c>
      <c r="F601" s="85" t="n">
        <f aca="false">D601</f>
        <v>25</v>
      </c>
      <c r="G601" s="82" t="s">
        <v>283</v>
      </c>
      <c r="I601" s="84" t="s">
        <v>204</v>
      </c>
      <c r="J601" s="86" t="n">
        <f aca="false">J607+J614+J620</f>
        <v>349.618832</v>
      </c>
    </row>
    <row r="602" customFormat="false" ht="15" hidden="false" customHeight="false" outlineLevel="0" collapsed="false">
      <c r="A602" s="82" t="s">
        <v>284</v>
      </c>
      <c r="B602" s="82" t="s">
        <v>285</v>
      </c>
      <c r="F602" s="84" t="s">
        <v>123</v>
      </c>
      <c r="G602" s="84" t="s">
        <v>286</v>
      </c>
      <c r="H602" s="84" t="s">
        <v>287</v>
      </c>
      <c r="I602" s="84" t="s">
        <v>288</v>
      </c>
      <c r="J602" s="84" t="s">
        <v>289</v>
      </c>
    </row>
    <row r="603" customFormat="false" ht="15" hidden="false" customHeight="false" outlineLevel="0" collapsed="false">
      <c r="B603" s="87" t="s">
        <v>290</v>
      </c>
    </row>
    <row r="604" customFormat="false" ht="15" hidden="false" customHeight="false" outlineLevel="0" collapsed="false">
      <c r="B604" s="1" t="s">
        <v>291</v>
      </c>
      <c r="F604" s="55" t="s">
        <v>292</v>
      </c>
      <c r="G604" s="56" t="n">
        <v>2</v>
      </c>
      <c r="H604" s="99" t="n">
        <f aca="false">G604*8/$D$601</f>
        <v>0.64</v>
      </c>
      <c r="I604" s="28" t="n">
        <v>28.94</v>
      </c>
      <c r="J604" s="28" t="n">
        <f aca="false">H604*I604</f>
        <v>18.5216</v>
      </c>
    </row>
    <row r="605" customFormat="false" ht="15" hidden="false" customHeight="false" outlineLevel="0" collapsed="false">
      <c r="B605" s="1" t="s">
        <v>293</v>
      </c>
      <c r="F605" s="55" t="s">
        <v>292</v>
      </c>
      <c r="G605" s="56" t="n">
        <v>1</v>
      </c>
      <c r="H605" s="99" t="n">
        <f aca="false">G605*8/$D$601</f>
        <v>0.32</v>
      </c>
      <c r="I605" s="28" t="n">
        <v>23.6</v>
      </c>
      <c r="J605" s="28" t="n">
        <f aca="false">H605*I605</f>
        <v>7.552</v>
      </c>
    </row>
    <row r="606" customFormat="false" ht="15" hidden="false" customHeight="false" outlineLevel="0" collapsed="false">
      <c r="B606" s="1" t="s">
        <v>294</v>
      </c>
      <c r="F606" s="55" t="s">
        <v>292</v>
      </c>
      <c r="G606" s="56" t="n">
        <v>4</v>
      </c>
      <c r="H606" s="99" t="n">
        <f aca="false">G606*8/$D$601</f>
        <v>1.28</v>
      </c>
      <c r="I606" s="28" t="n">
        <v>21.36</v>
      </c>
      <c r="J606" s="28" t="n">
        <f aca="false">H606*I606</f>
        <v>27.3408</v>
      </c>
    </row>
    <row r="607" customFormat="false" ht="15" hidden="false" customHeight="false" outlineLevel="0" collapsed="false">
      <c r="F607" s="55"/>
      <c r="G607" s="56"/>
      <c r="H607" s="57"/>
      <c r="J607" s="86" t="n">
        <f aca="false">SUM(J604:J606)</f>
        <v>53.4144</v>
      </c>
    </row>
    <row r="608" customFormat="false" ht="15" hidden="false" customHeight="false" outlineLevel="0" collapsed="false">
      <c r="B608" s="87" t="s">
        <v>654</v>
      </c>
      <c r="F608" s="55"/>
      <c r="G608" s="56"/>
      <c r="H608" s="57"/>
      <c r="J608" s="28"/>
    </row>
    <row r="609" customFormat="false" ht="15" hidden="false" customHeight="false" outlineLevel="0" collapsed="false">
      <c r="B609" s="1" t="s">
        <v>673</v>
      </c>
      <c r="F609" s="55" t="s">
        <v>204</v>
      </c>
      <c r="H609" s="57" t="n">
        <v>0.85</v>
      </c>
      <c r="I609" s="28" t="n">
        <v>55.08</v>
      </c>
      <c r="J609" s="28" t="n">
        <f aca="false">H609*I609</f>
        <v>46.818</v>
      </c>
    </row>
    <row r="610" customFormat="false" ht="15" hidden="false" customHeight="false" outlineLevel="0" collapsed="false">
      <c r="B610" s="1" t="s">
        <v>674</v>
      </c>
      <c r="F610" s="55" t="s">
        <v>204</v>
      </c>
      <c r="H610" s="57" t="n">
        <v>0.42</v>
      </c>
      <c r="I610" s="28" t="n">
        <v>47</v>
      </c>
      <c r="J610" s="28" t="n">
        <f aca="false">H610*I610</f>
        <v>19.74</v>
      </c>
    </row>
    <row r="611" customFormat="false" ht="15" hidden="false" customHeight="false" outlineLevel="0" collapsed="false">
      <c r="B611" s="1" t="s">
        <v>307</v>
      </c>
      <c r="F611" s="55" t="s">
        <v>308</v>
      </c>
      <c r="H611" s="57" t="n">
        <v>8.5</v>
      </c>
      <c r="I611" s="28" t="n">
        <v>24.52</v>
      </c>
      <c r="J611" s="28" t="n">
        <f aca="false">H611*I611</f>
        <v>208.42</v>
      </c>
    </row>
    <row r="612" customFormat="false" ht="15" hidden="false" customHeight="false" outlineLevel="0" collapsed="false">
      <c r="B612" s="1" t="s">
        <v>656</v>
      </c>
      <c r="F612" s="55" t="s">
        <v>204</v>
      </c>
      <c r="H612" s="57" t="n">
        <v>0.18</v>
      </c>
      <c r="I612" s="1" t="n">
        <v>6.14</v>
      </c>
      <c r="J612" s="28" t="n">
        <f aca="false">H612*I612</f>
        <v>1.1052</v>
      </c>
    </row>
    <row r="613" customFormat="false" ht="15" hidden="false" customHeight="false" outlineLevel="0" collapsed="false">
      <c r="B613" s="1" t="s">
        <v>666</v>
      </c>
      <c r="F613" s="55" t="s">
        <v>440</v>
      </c>
      <c r="H613" s="57" t="n">
        <v>0.2</v>
      </c>
      <c r="I613" s="1" t="n">
        <v>13.93</v>
      </c>
      <c r="J613" s="28" t="n">
        <f aca="false">H613*I613</f>
        <v>2.786</v>
      </c>
    </row>
    <row r="614" customFormat="false" ht="15" hidden="false" customHeight="false" outlineLevel="0" collapsed="false">
      <c r="F614" s="55"/>
      <c r="H614" s="57"/>
      <c r="I614" s="28"/>
      <c r="J614" s="86" t="n">
        <f aca="false">SUM(J609:J613)</f>
        <v>278.8692</v>
      </c>
    </row>
    <row r="615" customFormat="false" ht="15" hidden="false" customHeight="false" outlineLevel="0" collapsed="false">
      <c r="B615" s="87" t="s">
        <v>310</v>
      </c>
    </row>
    <row r="616" customFormat="false" ht="15" hidden="false" customHeight="false" outlineLevel="0" collapsed="false">
      <c r="B616" s="1" t="s">
        <v>311</v>
      </c>
      <c r="F616" s="55" t="s">
        <v>312</v>
      </c>
      <c r="H616" s="57" t="n">
        <v>3</v>
      </c>
      <c r="I616" s="28" t="n">
        <f aca="false">J607</f>
        <v>53.4144</v>
      </c>
      <c r="J616" s="28" t="n">
        <f aca="false">H616%*I616</f>
        <v>1.602432</v>
      </c>
    </row>
    <row r="617" customFormat="false" ht="15" hidden="false" customHeight="false" outlineLevel="0" collapsed="false">
      <c r="B617" s="1" t="s">
        <v>668</v>
      </c>
      <c r="F617" s="55" t="s">
        <v>338</v>
      </c>
      <c r="G617" s="56" t="n">
        <v>1</v>
      </c>
      <c r="H617" s="99" t="n">
        <f aca="false">G617*8/$D$601</f>
        <v>0.32</v>
      </c>
      <c r="I617" s="28" t="n">
        <v>25.63</v>
      </c>
      <c r="J617" s="28" t="n">
        <f aca="false">H617*I617</f>
        <v>8.2016</v>
      </c>
    </row>
    <row r="618" customFormat="false" ht="15" hidden="false" customHeight="false" outlineLevel="0" collapsed="false">
      <c r="B618" s="1" t="s">
        <v>691</v>
      </c>
      <c r="F618" s="55" t="s">
        <v>338</v>
      </c>
      <c r="G618" s="56" t="n">
        <v>1</v>
      </c>
      <c r="H618" s="99" t="n">
        <f aca="false">G618*8/$D$601</f>
        <v>0.32</v>
      </c>
      <c r="I618" s="46" t="n">
        <v>20</v>
      </c>
      <c r="J618" s="28" t="n">
        <f aca="false">H618*I618</f>
        <v>6.4</v>
      </c>
    </row>
    <row r="619" customFormat="false" ht="15" hidden="false" customHeight="false" outlineLevel="0" collapsed="false">
      <c r="B619" s="1" t="s">
        <v>676</v>
      </c>
      <c r="F619" s="55" t="s">
        <v>338</v>
      </c>
      <c r="G619" s="56" t="n">
        <v>0.5</v>
      </c>
      <c r="H619" s="99" t="n">
        <f aca="false">G619*8/$D$601</f>
        <v>0.16</v>
      </c>
      <c r="I619" s="1" t="n">
        <v>7.07</v>
      </c>
      <c r="J619" s="28" t="n">
        <f aca="false">H619*I619</f>
        <v>1.1312</v>
      </c>
    </row>
    <row r="620" customFormat="false" ht="15" hidden="false" customHeight="false" outlineLevel="0" collapsed="false">
      <c r="A620" s="60"/>
      <c r="B620" s="60"/>
      <c r="C620" s="60"/>
      <c r="D620" s="60"/>
      <c r="E620" s="60"/>
      <c r="F620" s="60"/>
      <c r="G620" s="60"/>
      <c r="H620" s="60"/>
      <c r="I620" s="60"/>
      <c r="J620" s="89" t="n">
        <f aca="false">SUM(J616:J619)</f>
        <v>17.335232</v>
      </c>
    </row>
    <row r="622" customFormat="false" ht="15" hidden="false" customHeight="false" outlineLevel="0" collapsed="false">
      <c r="A622" s="82" t="s">
        <v>278</v>
      </c>
      <c r="B622" s="82" t="str">
        <f aca="false">ESTRUCTURA!A52</f>
        <v>02.03.08.02</v>
      </c>
      <c r="C622" s="82" t="s">
        <v>553</v>
      </c>
      <c r="D622" s="82"/>
    </row>
    <row r="623" customFormat="false" ht="15" hidden="false" customHeight="false" outlineLevel="0" collapsed="false">
      <c r="A623" s="82" t="s">
        <v>279</v>
      </c>
      <c r="B623" s="82" t="s">
        <v>280</v>
      </c>
      <c r="C623" s="84" t="s">
        <v>281</v>
      </c>
      <c r="D623" s="85" t="n">
        <v>35</v>
      </c>
      <c r="E623" s="84" t="s">
        <v>282</v>
      </c>
      <c r="F623" s="85" t="n">
        <f aca="false">D623</f>
        <v>35</v>
      </c>
      <c r="G623" s="82" t="s">
        <v>283</v>
      </c>
      <c r="I623" s="84" t="s">
        <v>134</v>
      </c>
      <c r="J623" s="86" t="n">
        <f aca="false">J628+J633+J636</f>
        <v>50.7905142857143</v>
      </c>
    </row>
    <row r="624" customFormat="false" ht="15" hidden="false" customHeight="false" outlineLevel="0" collapsed="false">
      <c r="A624" s="82" t="s">
        <v>284</v>
      </c>
      <c r="B624" s="82" t="s">
        <v>285</v>
      </c>
      <c r="F624" s="84" t="s">
        <v>123</v>
      </c>
      <c r="G624" s="84" t="s">
        <v>286</v>
      </c>
      <c r="H624" s="84" t="s">
        <v>287</v>
      </c>
      <c r="I624" s="84" t="s">
        <v>288</v>
      </c>
      <c r="J624" s="84" t="s">
        <v>289</v>
      </c>
    </row>
    <row r="625" customFormat="false" ht="15" hidden="false" customHeight="false" outlineLevel="0" collapsed="false">
      <c r="B625" s="87" t="s">
        <v>290</v>
      </c>
    </row>
    <row r="626" customFormat="false" ht="15" hidden="false" customHeight="false" outlineLevel="0" collapsed="false">
      <c r="B626" s="1" t="s">
        <v>291</v>
      </c>
      <c r="F626" s="55" t="s">
        <v>292</v>
      </c>
      <c r="G626" s="56" t="n">
        <v>2</v>
      </c>
      <c r="H626" s="99" t="n">
        <f aca="false">G626*8/$D$623</f>
        <v>0.457142857142857</v>
      </c>
      <c r="I626" s="28" t="n">
        <v>28.94</v>
      </c>
      <c r="J626" s="28" t="n">
        <f aca="false">H626*I626</f>
        <v>13.2297142857143</v>
      </c>
    </row>
    <row r="627" customFormat="false" ht="15" hidden="false" customHeight="false" outlineLevel="0" collapsed="false">
      <c r="B627" s="1" t="s">
        <v>294</v>
      </c>
      <c r="F627" s="55" t="s">
        <v>292</v>
      </c>
      <c r="G627" s="56" t="n">
        <v>2</v>
      </c>
      <c r="H627" s="99" t="n">
        <f aca="false">G627*8/$D$623</f>
        <v>0.457142857142857</v>
      </c>
      <c r="I627" s="28" t="n">
        <v>21.36</v>
      </c>
      <c r="J627" s="28" t="n">
        <f aca="false">H627*I627</f>
        <v>9.76457142857143</v>
      </c>
    </row>
    <row r="628" customFormat="false" ht="15" hidden="false" customHeight="false" outlineLevel="0" collapsed="false">
      <c r="F628" s="55"/>
      <c r="G628" s="56"/>
      <c r="H628" s="57"/>
      <c r="I628" s="28"/>
      <c r="J628" s="86" t="n">
        <f aca="false">SUM(J626:J627)</f>
        <v>22.9942857142857</v>
      </c>
    </row>
    <row r="629" customFormat="false" ht="15" hidden="false" customHeight="false" outlineLevel="0" collapsed="false">
      <c r="B629" s="87" t="s">
        <v>654</v>
      </c>
      <c r="F629" s="55"/>
      <c r="G629" s="56"/>
      <c r="H629" s="57"/>
      <c r="J629" s="28"/>
    </row>
    <row r="630" customFormat="false" ht="15" hidden="false" customHeight="false" outlineLevel="0" collapsed="false">
      <c r="B630" s="1" t="s">
        <v>689</v>
      </c>
      <c r="F630" s="55" t="s">
        <v>297</v>
      </c>
      <c r="H630" s="57" t="n">
        <v>0.1</v>
      </c>
      <c r="I630" s="28" t="n">
        <v>2.64</v>
      </c>
      <c r="J630" s="28" t="n">
        <f aca="false">H630*I630</f>
        <v>0.264</v>
      </c>
    </row>
    <row r="631" customFormat="false" ht="15" hidden="false" customHeight="false" outlineLevel="0" collapsed="false">
      <c r="B631" s="1" t="s">
        <v>302</v>
      </c>
      <c r="F631" s="55" t="s">
        <v>297</v>
      </c>
      <c r="H631" s="57" t="n">
        <v>0.24</v>
      </c>
      <c r="I631" s="28" t="n">
        <v>5.51</v>
      </c>
      <c r="J631" s="28" t="n">
        <f aca="false">H631*I631</f>
        <v>1.3224</v>
      </c>
    </row>
    <row r="632" customFormat="false" ht="15" hidden="false" customHeight="false" outlineLevel="0" collapsed="false">
      <c r="B632" s="1" t="s">
        <v>670</v>
      </c>
      <c r="F632" s="55" t="s">
        <v>306</v>
      </c>
      <c r="H632" s="57" t="n">
        <v>4.4</v>
      </c>
      <c r="I632" s="28" t="n">
        <v>5.8</v>
      </c>
      <c r="J632" s="28" t="n">
        <f aca="false">H632*I632</f>
        <v>25.52</v>
      </c>
    </row>
    <row r="633" customFormat="false" ht="15" hidden="false" customHeight="false" outlineLevel="0" collapsed="false">
      <c r="F633" s="55"/>
      <c r="H633" s="57"/>
      <c r="I633" s="28"/>
      <c r="J633" s="86" t="n">
        <f aca="false">SUM(J630:J632)</f>
        <v>27.1064</v>
      </c>
    </row>
    <row r="634" customFormat="false" ht="15" hidden="false" customHeight="false" outlineLevel="0" collapsed="false">
      <c r="B634" s="87" t="s">
        <v>310</v>
      </c>
    </row>
    <row r="635" customFormat="false" ht="15" hidden="false" customHeight="false" outlineLevel="0" collapsed="false">
      <c r="B635" s="1" t="s">
        <v>311</v>
      </c>
      <c r="F635" s="55" t="s">
        <v>312</v>
      </c>
      <c r="H635" s="57" t="n">
        <v>3</v>
      </c>
      <c r="I635" s="28" t="n">
        <f aca="false">J628</f>
        <v>22.9942857142857</v>
      </c>
      <c r="J635" s="28" t="n">
        <f aca="false">H635%*I635</f>
        <v>0.689828571428571</v>
      </c>
    </row>
    <row r="636" customFormat="false" ht="15" hidden="false" customHeight="false" outlineLevel="0" collapsed="false">
      <c r="A636" s="60"/>
      <c r="B636" s="60"/>
      <c r="C636" s="60"/>
      <c r="D636" s="60"/>
      <c r="E636" s="60"/>
      <c r="F636" s="60"/>
      <c r="G636" s="60"/>
      <c r="H636" s="60"/>
      <c r="I636" s="60"/>
      <c r="J636" s="89" t="n">
        <f aca="false">SUM(J635)</f>
        <v>0.689828571428571</v>
      </c>
    </row>
    <row r="638" customFormat="false" ht="15" hidden="false" customHeight="false" outlineLevel="0" collapsed="false">
      <c r="A638" s="82" t="s">
        <v>278</v>
      </c>
      <c r="B638" s="82" t="str">
        <f aca="false">ESTRUCTURA!A53</f>
        <v>02.03.08.03</v>
      </c>
      <c r="C638" s="82" t="s">
        <v>694</v>
      </c>
      <c r="D638" s="82"/>
    </row>
    <row r="639" customFormat="false" ht="15" hidden="false" customHeight="false" outlineLevel="0" collapsed="false">
      <c r="A639" s="82" t="s">
        <v>279</v>
      </c>
      <c r="B639" s="82" t="s">
        <v>679</v>
      </c>
      <c r="C639" s="84" t="s">
        <v>281</v>
      </c>
      <c r="D639" s="85" t="n">
        <v>250</v>
      </c>
      <c r="E639" s="84" t="s">
        <v>282</v>
      </c>
      <c r="F639" s="85" t="n">
        <f aca="false">D639</f>
        <v>250</v>
      </c>
      <c r="G639" s="82" t="s">
        <v>283</v>
      </c>
      <c r="I639" s="84" t="s">
        <v>297</v>
      </c>
      <c r="J639" s="86" t="n">
        <f aca="false">J644+J648+J652</f>
        <v>5.5639628445</v>
      </c>
    </row>
    <row r="640" customFormat="false" ht="15" hidden="false" customHeight="false" outlineLevel="0" collapsed="false">
      <c r="A640" s="82" t="s">
        <v>284</v>
      </c>
      <c r="B640" s="82" t="s">
        <v>285</v>
      </c>
      <c r="F640" s="84" t="s">
        <v>123</v>
      </c>
      <c r="G640" s="84" t="s">
        <v>286</v>
      </c>
      <c r="H640" s="84" t="s">
        <v>287</v>
      </c>
      <c r="I640" s="84" t="s">
        <v>288</v>
      </c>
      <c r="J640" s="84" t="s">
        <v>289</v>
      </c>
    </row>
    <row r="641" customFormat="false" ht="15" hidden="false" customHeight="false" outlineLevel="0" collapsed="false">
      <c r="B641" s="87" t="s">
        <v>290</v>
      </c>
    </row>
    <row r="642" customFormat="false" ht="15" hidden="false" customHeight="false" outlineLevel="0" collapsed="false">
      <c r="B642" s="1" t="s">
        <v>291</v>
      </c>
      <c r="F642" s="55" t="s">
        <v>292</v>
      </c>
      <c r="G642" s="56" t="n">
        <v>1</v>
      </c>
      <c r="H642" s="99" t="n">
        <f aca="false">G642*8/$D$639</f>
        <v>0.032</v>
      </c>
      <c r="I642" s="28" t="n">
        <v>28.94</v>
      </c>
      <c r="J642" s="28" t="n">
        <f aca="false">H642*I642</f>
        <v>0.92608</v>
      </c>
    </row>
    <row r="643" customFormat="false" ht="15" hidden="false" customHeight="false" outlineLevel="0" collapsed="false">
      <c r="B643" s="1" t="s">
        <v>680</v>
      </c>
      <c r="F643" s="55" t="s">
        <v>292</v>
      </c>
      <c r="G643" s="56" t="n">
        <v>1</v>
      </c>
      <c r="H643" s="99" t="n">
        <f aca="false">G643*8/$D$639</f>
        <v>0.032</v>
      </c>
      <c r="I643" s="28" t="n">
        <v>23.6</v>
      </c>
      <c r="J643" s="28" t="n">
        <f aca="false">H643*I643</f>
        <v>0.7552</v>
      </c>
    </row>
    <row r="644" customFormat="false" ht="15" hidden="false" customHeight="false" outlineLevel="0" collapsed="false">
      <c r="F644" s="55"/>
      <c r="G644" s="56"/>
      <c r="J644" s="86" t="n">
        <f aca="false">SUM(J642:J643)</f>
        <v>1.68128</v>
      </c>
    </row>
    <row r="645" customFormat="false" ht="15" hidden="false" customHeight="false" outlineLevel="0" collapsed="false">
      <c r="B645" s="87" t="s">
        <v>295</v>
      </c>
      <c r="F645" s="55"/>
      <c r="G645" s="56"/>
      <c r="H645" s="99"/>
    </row>
    <row r="646" customFormat="false" ht="15" hidden="false" customHeight="false" outlineLevel="0" collapsed="false">
      <c r="B646" s="1" t="s">
        <v>296</v>
      </c>
      <c r="F646" s="55" t="s">
        <v>297</v>
      </c>
      <c r="G646" s="56"/>
      <c r="H646" s="99" t="n">
        <v>0.03</v>
      </c>
      <c r="I646" s="28" t="n">
        <v>2.64</v>
      </c>
      <c r="J646" s="28" t="n">
        <f aca="false">H646*I646</f>
        <v>0.0792</v>
      </c>
    </row>
    <row r="647" customFormat="false" ht="15" hidden="false" customHeight="false" outlineLevel="0" collapsed="false">
      <c r="B647" s="1" t="s">
        <v>681</v>
      </c>
      <c r="F647" s="55" t="s">
        <v>297</v>
      </c>
      <c r="G647" s="56"/>
      <c r="H647" s="99" t="n">
        <v>1.05</v>
      </c>
      <c r="I647" s="28" t="n">
        <f aca="false">1012.71*3.379/1000</f>
        <v>3.42194709</v>
      </c>
      <c r="J647" s="28" t="n">
        <f aca="false">H647*I647</f>
        <v>3.5930444445</v>
      </c>
    </row>
    <row r="648" customFormat="false" ht="15" hidden="false" customHeight="false" outlineLevel="0" collapsed="false">
      <c r="F648" s="55"/>
      <c r="G648" s="56"/>
      <c r="J648" s="86" t="n">
        <f aca="false">SUM(J646:J647)</f>
        <v>3.6722444445</v>
      </c>
    </row>
    <row r="649" customFormat="false" ht="15" hidden="false" customHeight="false" outlineLevel="0" collapsed="false">
      <c r="B649" s="87" t="s">
        <v>318</v>
      </c>
      <c r="F649" s="55"/>
      <c r="G649" s="56"/>
    </row>
    <row r="650" customFormat="false" ht="15" hidden="false" customHeight="false" outlineLevel="0" collapsed="false">
      <c r="B650" s="1" t="s">
        <v>311</v>
      </c>
      <c r="F650" s="55" t="s">
        <v>312</v>
      </c>
      <c r="H650" s="57" t="n">
        <v>3</v>
      </c>
      <c r="I650" s="28" t="n">
        <f aca="false">J644</f>
        <v>1.68128</v>
      </c>
      <c r="J650" s="28" t="n">
        <f aca="false">H650%*I650</f>
        <v>0.0504384</v>
      </c>
    </row>
    <row r="651" customFormat="false" ht="15" hidden="false" customHeight="false" outlineLevel="0" collapsed="false">
      <c r="B651" s="1" t="s">
        <v>682</v>
      </c>
      <c r="F651" s="55" t="s">
        <v>292</v>
      </c>
      <c r="G651" s="56" t="n">
        <v>1</v>
      </c>
      <c r="H651" s="99" t="n">
        <f aca="false">G651*8/$D$639</f>
        <v>0.032</v>
      </c>
      <c r="I651" s="46" t="n">
        <v>5</v>
      </c>
      <c r="J651" s="28" t="n">
        <f aca="false">H651*I651</f>
        <v>0.16</v>
      </c>
    </row>
    <row r="652" customFormat="false" ht="15" hidden="false" customHeight="false" outlineLevel="0" collapsed="false">
      <c r="A652" s="60"/>
      <c r="B652" s="60"/>
      <c r="C652" s="60"/>
      <c r="D652" s="60"/>
      <c r="E652" s="60"/>
      <c r="F652" s="60"/>
      <c r="G652" s="60"/>
      <c r="H652" s="60"/>
      <c r="I652" s="60"/>
      <c r="J652" s="89" t="n">
        <f aca="false">SUM(J650:J651)</f>
        <v>0.2104384</v>
      </c>
    </row>
    <row r="653" customFormat="false" ht="15" hidden="false" customHeight="false" outlineLevel="0" collapsed="false">
      <c r="C653" s="82"/>
      <c r="J653" s="86"/>
    </row>
    <row r="654" customFormat="false" ht="15" hidden="false" customHeight="false" outlineLevel="0" collapsed="false">
      <c r="A654" s="14" t="s">
        <v>278</v>
      </c>
      <c r="B654" s="14" t="str">
        <f aca="false">ESTRUCTURA!A55</f>
        <v>02.03.09.01</v>
      </c>
      <c r="C654" s="82" t="s">
        <v>695</v>
      </c>
      <c r="D654" s="14"/>
    </row>
    <row r="655" customFormat="false" ht="15" hidden="false" customHeight="false" outlineLevel="0" collapsed="false">
      <c r="A655" s="14" t="s">
        <v>279</v>
      </c>
      <c r="B655" s="14" t="s">
        <v>417</v>
      </c>
      <c r="C655" s="36" t="s">
        <v>281</v>
      </c>
      <c r="D655" s="52" t="n">
        <v>25</v>
      </c>
      <c r="E655" s="36" t="s">
        <v>282</v>
      </c>
      <c r="F655" s="52" t="n">
        <f aca="false">D655</f>
        <v>25</v>
      </c>
      <c r="G655" s="14" t="s">
        <v>283</v>
      </c>
      <c r="I655" s="36" t="s">
        <v>204</v>
      </c>
      <c r="J655" s="53" t="n">
        <f aca="false">J663+J672+J677</f>
        <v>396.881736</v>
      </c>
    </row>
    <row r="656" customFormat="false" ht="15" hidden="false" customHeight="false" outlineLevel="0" collapsed="false">
      <c r="A656" s="14" t="s">
        <v>284</v>
      </c>
      <c r="B656" s="14" t="s">
        <v>285</v>
      </c>
      <c r="F656" s="36" t="s">
        <v>123</v>
      </c>
      <c r="G656" s="36" t="s">
        <v>286</v>
      </c>
      <c r="H656" s="36" t="s">
        <v>287</v>
      </c>
      <c r="I656" s="36" t="s">
        <v>288</v>
      </c>
      <c r="J656" s="36" t="s">
        <v>289</v>
      </c>
    </row>
    <row r="657" customFormat="false" ht="15" hidden="false" customHeight="false" outlineLevel="0" collapsed="false">
      <c r="B657" s="54" t="s">
        <v>290</v>
      </c>
    </row>
    <row r="658" customFormat="false" ht="15" hidden="false" customHeight="false" outlineLevel="0" collapsed="false">
      <c r="B658" s="1" t="s">
        <v>651</v>
      </c>
      <c r="F658" s="55" t="s">
        <v>292</v>
      </c>
      <c r="G658" s="56" t="n">
        <v>0.2</v>
      </c>
      <c r="H658" s="57" t="n">
        <f aca="false">G658*8/$D$655</f>
        <v>0.064</v>
      </c>
      <c r="I658" s="47" t="n">
        <v>34.73</v>
      </c>
      <c r="J658" s="28" t="n">
        <f aca="false">H658*I658</f>
        <v>2.22272</v>
      </c>
    </row>
    <row r="659" customFormat="false" ht="15" hidden="false" customHeight="false" outlineLevel="0" collapsed="false">
      <c r="B659" s="1" t="s">
        <v>291</v>
      </c>
      <c r="F659" s="55" t="s">
        <v>292</v>
      </c>
      <c r="G659" s="56" t="n">
        <v>2</v>
      </c>
      <c r="H659" s="57" t="n">
        <f aca="false">G659*8/$D$655</f>
        <v>0.64</v>
      </c>
      <c r="I659" s="47" t="n">
        <v>28.94</v>
      </c>
      <c r="J659" s="28" t="n">
        <f aca="false">H659*I659</f>
        <v>18.5216</v>
      </c>
    </row>
    <row r="660" customFormat="false" ht="15" hidden="false" customHeight="false" outlineLevel="0" collapsed="false">
      <c r="B660" s="1" t="s">
        <v>680</v>
      </c>
      <c r="F660" s="55" t="s">
        <v>292</v>
      </c>
      <c r="G660" s="56" t="n">
        <v>1</v>
      </c>
      <c r="H660" s="57" t="n">
        <f aca="false">G660*8/$D$655</f>
        <v>0.32</v>
      </c>
      <c r="I660" s="1" t="n">
        <v>23.6</v>
      </c>
      <c r="J660" s="28" t="n">
        <f aca="false">H660*I660</f>
        <v>7.552</v>
      </c>
    </row>
    <row r="661" customFormat="false" ht="15" hidden="false" customHeight="false" outlineLevel="0" collapsed="false">
      <c r="B661" s="1" t="s">
        <v>294</v>
      </c>
      <c r="F661" s="55" t="s">
        <v>292</v>
      </c>
      <c r="G661" s="56" t="n">
        <v>7</v>
      </c>
      <c r="H661" s="57" t="n">
        <f aca="false">G661*8/$D$655</f>
        <v>2.24</v>
      </c>
      <c r="I661" s="1" t="n">
        <v>21.36</v>
      </c>
      <c r="J661" s="28" t="n">
        <f aca="false">H661*I661</f>
        <v>47.8464</v>
      </c>
    </row>
    <row r="662" customFormat="false" ht="15" hidden="false" customHeight="false" outlineLevel="0" collapsed="false">
      <c r="B662" s="1" t="s">
        <v>664</v>
      </c>
      <c r="F662" s="55" t="s">
        <v>292</v>
      </c>
      <c r="G662" s="56" t="n">
        <v>1</v>
      </c>
      <c r="H662" s="57" t="n">
        <f aca="false">G662*8/$D$655</f>
        <v>0.32</v>
      </c>
      <c r="I662" s="1" t="n">
        <v>29.94</v>
      </c>
      <c r="J662" s="28" t="n">
        <f aca="false">H662*I662</f>
        <v>9.5808</v>
      </c>
    </row>
    <row r="663" customFormat="false" ht="15" hidden="false" customHeight="false" outlineLevel="0" collapsed="false">
      <c r="F663" s="55"/>
      <c r="J663" s="53" t="n">
        <f aca="false">SUM(J658:J662)</f>
        <v>85.72352</v>
      </c>
    </row>
    <row r="664" customFormat="false" ht="15" hidden="false" customHeight="false" outlineLevel="0" collapsed="false">
      <c r="B664" s="54" t="s">
        <v>654</v>
      </c>
    </row>
    <row r="665" customFormat="false" ht="15" hidden="false" customHeight="false" outlineLevel="0" collapsed="false">
      <c r="B665" s="1" t="s">
        <v>696</v>
      </c>
      <c r="F665" s="55" t="s">
        <v>440</v>
      </c>
      <c r="H665" s="57" t="n">
        <v>0.01</v>
      </c>
      <c r="I665" s="28" t="n">
        <v>38.22</v>
      </c>
      <c r="J665" s="28" t="n">
        <f aca="false">H665*I665</f>
        <v>0.3822</v>
      </c>
    </row>
    <row r="666" customFormat="false" ht="15" hidden="false" customHeight="false" outlineLevel="0" collapsed="false">
      <c r="B666" s="1" t="s">
        <v>697</v>
      </c>
      <c r="F666" s="55" t="s">
        <v>698</v>
      </c>
      <c r="H666" s="57" t="n">
        <v>0.008</v>
      </c>
      <c r="I666" s="28" t="n">
        <v>12.63</v>
      </c>
      <c r="J666" s="28" t="n">
        <f aca="false">H666*I666</f>
        <v>0.10104</v>
      </c>
    </row>
    <row r="667" customFormat="false" ht="15" hidden="false" customHeight="false" outlineLevel="0" collapsed="false">
      <c r="B667" s="1" t="s">
        <v>699</v>
      </c>
      <c r="F667" s="55" t="s">
        <v>440</v>
      </c>
      <c r="H667" s="57" t="n">
        <v>0.12</v>
      </c>
      <c r="I667" s="28" t="n">
        <v>13.93</v>
      </c>
      <c r="J667" s="28" t="n">
        <f aca="false">H667*I667</f>
        <v>1.6716</v>
      </c>
    </row>
    <row r="668" customFormat="false" ht="15" hidden="false" customHeight="false" outlineLevel="0" collapsed="false">
      <c r="B668" s="1" t="s">
        <v>700</v>
      </c>
      <c r="F668" s="55" t="s">
        <v>204</v>
      </c>
      <c r="H668" s="57" t="n">
        <v>0.8</v>
      </c>
      <c r="I668" s="28" t="n">
        <v>55.08</v>
      </c>
      <c r="J668" s="28" t="n">
        <f aca="false">H668*I668</f>
        <v>44.064</v>
      </c>
    </row>
    <row r="669" customFormat="false" ht="15" hidden="false" customHeight="false" outlineLevel="0" collapsed="false">
      <c r="B669" s="1" t="s">
        <v>701</v>
      </c>
      <c r="F669" s="55" t="s">
        <v>204</v>
      </c>
      <c r="H669" s="57" t="n">
        <v>0.5</v>
      </c>
      <c r="I669" s="28" t="n">
        <v>47</v>
      </c>
      <c r="J669" s="28" t="n">
        <f aca="false">H669*I669</f>
        <v>23.5</v>
      </c>
    </row>
    <row r="670" customFormat="false" ht="15" hidden="false" customHeight="false" outlineLevel="0" collapsed="false">
      <c r="B670" s="1" t="s">
        <v>665</v>
      </c>
      <c r="F670" s="55" t="s">
        <v>204</v>
      </c>
      <c r="H670" s="57" t="n">
        <v>0.18</v>
      </c>
      <c r="I670" s="28" t="n">
        <v>6.14</v>
      </c>
      <c r="J670" s="28" t="n">
        <f aca="false">H670*I670</f>
        <v>1.1052</v>
      </c>
    </row>
    <row r="671" customFormat="false" ht="15" hidden="false" customHeight="false" outlineLevel="0" collapsed="false">
      <c r="B671" s="1" t="s">
        <v>702</v>
      </c>
      <c r="F671" s="55" t="s">
        <v>308</v>
      </c>
      <c r="H671" s="57" t="n">
        <v>9.2</v>
      </c>
      <c r="I671" s="28" t="n">
        <v>24.52</v>
      </c>
      <c r="J671" s="28" t="n">
        <f aca="false">H671*I671</f>
        <v>225.584</v>
      </c>
    </row>
    <row r="672" customFormat="false" ht="15" hidden="false" customHeight="false" outlineLevel="0" collapsed="false">
      <c r="F672" s="55"/>
      <c r="H672" s="57"/>
      <c r="I672" s="28"/>
      <c r="J672" s="53" t="n">
        <f aca="false">SUM(J665:J671)</f>
        <v>296.40804</v>
      </c>
    </row>
    <row r="673" customFormat="false" ht="15" hidden="false" customHeight="false" outlineLevel="0" collapsed="false">
      <c r="B673" s="54" t="s">
        <v>310</v>
      </c>
    </row>
    <row r="674" customFormat="false" ht="15" hidden="false" customHeight="false" outlineLevel="0" collapsed="false">
      <c r="B674" s="1" t="s">
        <v>703</v>
      </c>
      <c r="F674" s="55" t="s">
        <v>338</v>
      </c>
      <c r="G674" s="56" t="n">
        <v>1</v>
      </c>
      <c r="H674" s="57" t="n">
        <f aca="false">G674*8/$D$655</f>
        <v>0.32</v>
      </c>
      <c r="I674" s="28" t="n">
        <v>25.63</v>
      </c>
      <c r="J674" s="28" t="n">
        <f aca="false">H674*I674</f>
        <v>8.2016</v>
      </c>
    </row>
    <row r="675" customFormat="false" ht="15" hidden="false" customHeight="false" outlineLevel="0" collapsed="false">
      <c r="B675" s="1" t="s">
        <v>704</v>
      </c>
      <c r="F675" s="55" t="s">
        <v>338</v>
      </c>
      <c r="G675" s="56" t="n">
        <v>1</v>
      </c>
      <c r="H675" s="57" t="n">
        <f aca="false">G675*8/$D$655</f>
        <v>0.32</v>
      </c>
      <c r="I675" s="28" t="n">
        <v>7.07</v>
      </c>
      <c r="J675" s="28" t="n">
        <f aca="false">H675*I675</f>
        <v>2.2624</v>
      </c>
    </row>
    <row r="676" customFormat="false" ht="15" hidden="false" customHeight="false" outlineLevel="0" collapsed="false">
      <c r="B676" s="1" t="s">
        <v>311</v>
      </c>
      <c r="F676" s="55" t="s">
        <v>312</v>
      </c>
      <c r="H676" s="57" t="n">
        <v>5</v>
      </c>
      <c r="I676" s="28" t="n">
        <f aca="false">J663</f>
        <v>85.72352</v>
      </c>
      <c r="J676" s="28" t="n">
        <f aca="false">H676%*I676</f>
        <v>4.286176</v>
      </c>
    </row>
    <row r="677" customFormat="false" ht="15" hidden="false" customHeight="false" outlineLevel="0" collapsed="false">
      <c r="A677" s="60"/>
      <c r="B677" s="60"/>
      <c r="C677" s="60"/>
      <c r="D677" s="60"/>
      <c r="E677" s="60"/>
      <c r="F677" s="60"/>
      <c r="G677" s="60"/>
      <c r="H677" s="60"/>
      <c r="I677" s="80"/>
      <c r="J677" s="61" t="n">
        <f aca="false">SUM(J674:J676)</f>
        <v>14.750176</v>
      </c>
    </row>
    <row r="679" customFormat="false" ht="15" hidden="false" customHeight="false" outlineLevel="0" collapsed="false">
      <c r="A679" s="14" t="s">
        <v>278</v>
      </c>
      <c r="B679" s="14" t="str">
        <f aca="false">ESTRUCTURA!A56</f>
        <v>02.03.09.02</v>
      </c>
      <c r="C679" s="14" t="s">
        <v>705</v>
      </c>
      <c r="D679" s="14"/>
    </row>
    <row r="680" customFormat="false" ht="15" hidden="false" customHeight="false" outlineLevel="0" collapsed="false">
      <c r="A680" s="14" t="s">
        <v>279</v>
      </c>
      <c r="B680" s="14" t="s">
        <v>280</v>
      </c>
      <c r="C680" s="36" t="s">
        <v>281</v>
      </c>
      <c r="D680" s="52" t="n">
        <v>35</v>
      </c>
      <c r="E680" s="36" t="s">
        <v>282</v>
      </c>
      <c r="F680" s="52" t="n">
        <f aca="false">D680</f>
        <v>35</v>
      </c>
      <c r="G680" s="14" t="s">
        <v>283</v>
      </c>
      <c r="I680" s="36" t="s">
        <v>134</v>
      </c>
      <c r="J680" s="53" t="n">
        <f aca="false">J686+J691+J694</f>
        <v>43.4766</v>
      </c>
    </row>
    <row r="681" customFormat="false" ht="15" hidden="false" customHeight="false" outlineLevel="0" collapsed="false">
      <c r="A681" s="14" t="s">
        <v>284</v>
      </c>
      <c r="B681" s="14" t="s">
        <v>285</v>
      </c>
      <c r="F681" s="36" t="s">
        <v>123</v>
      </c>
      <c r="G681" s="36" t="s">
        <v>286</v>
      </c>
      <c r="H681" s="36" t="s">
        <v>287</v>
      </c>
      <c r="I681" s="36" t="s">
        <v>288</v>
      </c>
      <c r="J681" s="36" t="s">
        <v>289</v>
      </c>
    </row>
    <row r="682" customFormat="false" ht="15" hidden="false" customHeight="false" outlineLevel="0" collapsed="false">
      <c r="B682" s="54" t="s">
        <v>290</v>
      </c>
    </row>
    <row r="683" customFormat="false" ht="15" hidden="false" customHeight="false" outlineLevel="0" collapsed="false">
      <c r="B683" s="1" t="s">
        <v>291</v>
      </c>
      <c r="F683" s="55" t="s">
        <v>292</v>
      </c>
      <c r="G683" s="56" t="n">
        <v>2</v>
      </c>
      <c r="H683" s="57" t="n">
        <f aca="false">G683*8/$D$680</f>
        <v>0.457142857142857</v>
      </c>
      <c r="I683" s="28" t="n">
        <v>28.94</v>
      </c>
      <c r="J683" s="28" t="n">
        <f aca="false">H683*I683</f>
        <v>13.2297142857143</v>
      </c>
    </row>
    <row r="684" customFormat="false" ht="15" hidden="false" customHeight="false" outlineLevel="0" collapsed="false">
      <c r="B684" s="1" t="s">
        <v>680</v>
      </c>
      <c r="F684" s="55" t="s">
        <v>292</v>
      </c>
      <c r="G684" s="56" t="n">
        <v>1</v>
      </c>
      <c r="H684" s="57" t="n">
        <f aca="false">G684*8/$D$680</f>
        <v>0.228571428571429</v>
      </c>
      <c r="I684" s="1" t="n">
        <v>23.6</v>
      </c>
      <c r="J684" s="28" t="n">
        <f aca="false">H684*I684</f>
        <v>5.39428571428571</v>
      </c>
    </row>
    <row r="685" customFormat="false" ht="15" hidden="false" customHeight="false" outlineLevel="0" collapsed="false">
      <c r="B685" s="1" t="s">
        <v>294</v>
      </c>
      <c r="F685" s="55" t="s">
        <v>292</v>
      </c>
      <c r="G685" s="56" t="n">
        <v>1</v>
      </c>
      <c r="H685" s="57" t="n">
        <f aca="false">G685*8/$D$680</f>
        <v>0.228571428571429</v>
      </c>
      <c r="I685" s="1" t="n">
        <v>21.36</v>
      </c>
      <c r="J685" s="28" t="n">
        <f aca="false">H685*I685</f>
        <v>4.88228571428571</v>
      </c>
    </row>
    <row r="686" customFormat="false" ht="15" hidden="false" customHeight="false" outlineLevel="0" collapsed="false">
      <c r="F686" s="55"/>
      <c r="J686" s="53" t="n">
        <f aca="false">SUM(J683:J685)</f>
        <v>23.5062857142857</v>
      </c>
    </row>
    <row r="687" customFormat="false" ht="15" hidden="false" customHeight="false" outlineLevel="0" collapsed="false">
      <c r="B687" s="54" t="s">
        <v>654</v>
      </c>
    </row>
    <row r="688" customFormat="false" ht="15" hidden="false" customHeight="false" outlineLevel="0" collapsed="false">
      <c r="B688" s="1" t="s">
        <v>689</v>
      </c>
      <c r="F688" s="55" t="s">
        <v>297</v>
      </c>
      <c r="H688" s="57" t="n">
        <v>0.1</v>
      </c>
      <c r="I688" s="28" t="n">
        <v>2.64</v>
      </c>
      <c r="J688" s="28" t="n">
        <f aca="false">H688*I688</f>
        <v>0.264</v>
      </c>
    </row>
    <row r="689" customFormat="false" ht="15" hidden="false" customHeight="false" outlineLevel="0" collapsed="false">
      <c r="B689" s="1" t="s">
        <v>302</v>
      </c>
      <c r="F689" s="55" t="s">
        <v>297</v>
      </c>
      <c r="H689" s="57" t="n">
        <v>0.1</v>
      </c>
      <c r="I689" s="28" t="n">
        <v>5.51</v>
      </c>
      <c r="J689" s="28" t="n">
        <f aca="false">H689*I689</f>
        <v>0.551</v>
      </c>
    </row>
    <row r="690" customFormat="false" ht="15" hidden="false" customHeight="false" outlineLevel="0" collapsed="false">
      <c r="B690" s="1" t="s">
        <v>670</v>
      </c>
      <c r="F690" s="55" t="s">
        <v>297</v>
      </c>
      <c r="H690" s="57" t="n">
        <v>3.1</v>
      </c>
      <c r="I690" s="28" t="n">
        <v>5.8</v>
      </c>
      <c r="J690" s="28" t="n">
        <f aca="false">H690*I690</f>
        <v>17.98</v>
      </c>
    </row>
    <row r="691" customFormat="false" ht="15" hidden="false" customHeight="false" outlineLevel="0" collapsed="false">
      <c r="J691" s="53" t="n">
        <f aca="false">SUM(J688:J690)</f>
        <v>18.795</v>
      </c>
    </row>
    <row r="692" customFormat="false" ht="15" hidden="false" customHeight="false" outlineLevel="0" collapsed="false">
      <c r="B692" s="54" t="s">
        <v>310</v>
      </c>
    </row>
    <row r="693" customFormat="false" ht="15" hidden="false" customHeight="false" outlineLevel="0" collapsed="false">
      <c r="B693" s="1" t="s">
        <v>311</v>
      </c>
      <c r="F693" s="55" t="s">
        <v>312</v>
      </c>
      <c r="H693" s="57" t="n">
        <v>5</v>
      </c>
      <c r="I693" s="28" t="n">
        <f aca="false">J686</f>
        <v>23.5062857142857</v>
      </c>
      <c r="J693" s="28" t="n">
        <f aca="false">H693%*I693</f>
        <v>1.17531428571429</v>
      </c>
    </row>
    <row r="694" customFormat="false" ht="15" hidden="false" customHeight="false" outlineLevel="0" collapsed="false">
      <c r="A694" s="60"/>
      <c r="B694" s="60"/>
      <c r="C694" s="60"/>
      <c r="D694" s="60"/>
      <c r="E694" s="60"/>
      <c r="F694" s="60"/>
      <c r="G694" s="60"/>
      <c r="H694" s="60"/>
      <c r="I694" s="60"/>
      <c r="J694" s="61" t="n">
        <f aca="false">SUM(J693)</f>
        <v>1.17531428571429</v>
      </c>
    </row>
    <row r="696" customFormat="false" ht="15" hidden="false" customHeight="false" outlineLevel="0" collapsed="false">
      <c r="A696" s="82" t="s">
        <v>278</v>
      </c>
      <c r="B696" s="14" t="str">
        <f aca="false">ESTRUCTURA!A57</f>
        <v>02.03.09.03</v>
      </c>
      <c r="C696" s="82" t="s">
        <v>563</v>
      </c>
    </row>
    <row r="697" customFormat="false" ht="15" hidden="false" customHeight="false" outlineLevel="0" collapsed="false">
      <c r="A697" s="82" t="s">
        <v>279</v>
      </c>
      <c r="B697" s="82" t="s">
        <v>706</v>
      </c>
      <c r="C697" s="84" t="s">
        <v>281</v>
      </c>
      <c r="D697" s="85" t="n">
        <v>250</v>
      </c>
      <c r="E697" s="84" t="s">
        <v>282</v>
      </c>
      <c r="F697" s="85" t="n">
        <f aca="false">D697</f>
        <v>250</v>
      </c>
      <c r="G697" s="82" t="s">
        <v>283</v>
      </c>
      <c r="I697" s="84" t="s">
        <v>707</v>
      </c>
      <c r="J697" s="86" t="n">
        <f aca="false">J703+J707+J710</f>
        <v>5.4833634845</v>
      </c>
    </row>
    <row r="698" customFormat="false" ht="15" hidden="false" customHeight="false" outlineLevel="0" collapsed="false">
      <c r="A698" s="82" t="s">
        <v>284</v>
      </c>
      <c r="B698" s="82" t="s">
        <v>285</v>
      </c>
      <c r="F698" s="84" t="s">
        <v>123</v>
      </c>
      <c r="G698" s="84" t="s">
        <v>286</v>
      </c>
      <c r="H698" s="84" t="s">
        <v>287</v>
      </c>
      <c r="I698" s="84" t="s">
        <v>288</v>
      </c>
      <c r="J698" s="84" t="s">
        <v>289</v>
      </c>
    </row>
    <row r="699" customFormat="false" ht="15" hidden="false" customHeight="false" outlineLevel="0" collapsed="false">
      <c r="B699" s="87" t="s">
        <v>290</v>
      </c>
      <c r="G699" s="56"/>
    </row>
    <row r="700" customFormat="false" ht="15" hidden="false" customHeight="false" outlineLevel="0" collapsed="false">
      <c r="B700" s="1" t="s">
        <v>291</v>
      </c>
      <c r="F700" s="55" t="s">
        <v>292</v>
      </c>
      <c r="G700" s="56" t="n">
        <v>1</v>
      </c>
      <c r="H700" s="99" t="n">
        <f aca="false">G700*8/$D$697</f>
        <v>0.032</v>
      </c>
      <c r="I700" s="47" t="n">
        <v>29.99</v>
      </c>
      <c r="J700" s="28" t="n">
        <f aca="false">H700*I700</f>
        <v>0.95968</v>
      </c>
    </row>
    <row r="701" customFormat="false" ht="15" hidden="false" customHeight="false" outlineLevel="0" collapsed="false">
      <c r="B701" s="1" t="s">
        <v>680</v>
      </c>
      <c r="F701" s="55" t="s">
        <v>292</v>
      </c>
      <c r="G701" s="56" t="n">
        <v>1</v>
      </c>
      <c r="H701" s="99" t="n">
        <f aca="false">G701*8/$D$697</f>
        <v>0.032</v>
      </c>
      <c r="I701" s="1" t="n">
        <v>21.36</v>
      </c>
      <c r="J701" s="28" t="n">
        <f aca="false">H701*I701</f>
        <v>0.68352</v>
      </c>
    </row>
    <row r="702" customFormat="false" ht="15" hidden="false" customHeight="false" outlineLevel="0" collapsed="false">
      <c r="B702" s="1" t="s">
        <v>651</v>
      </c>
      <c r="F702" s="55" t="s">
        <v>292</v>
      </c>
      <c r="G702" s="56" t="n">
        <v>0.1</v>
      </c>
      <c r="H702" s="99" t="n">
        <f aca="false">G702*8/$D$697</f>
        <v>0.0032</v>
      </c>
      <c r="I702" s="47" t="n">
        <v>35.99</v>
      </c>
      <c r="J702" s="28" t="n">
        <f aca="false">H702*I702</f>
        <v>0.115168</v>
      </c>
    </row>
    <row r="703" customFormat="false" ht="15" hidden="false" customHeight="false" outlineLevel="0" collapsed="false">
      <c r="F703" s="55"/>
      <c r="G703" s="56"/>
      <c r="J703" s="86" t="n">
        <f aca="false">SUM(J700:J702)</f>
        <v>1.758368</v>
      </c>
    </row>
    <row r="704" customFormat="false" ht="15" hidden="false" customHeight="false" outlineLevel="0" collapsed="false">
      <c r="B704" s="87" t="s">
        <v>295</v>
      </c>
      <c r="F704" s="55"/>
      <c r="G704" s="56"/>
      <c r="H704" s="99"/>
    </row>
    <row r="705" customFormat="false" ht="15" hidden="false" customHeight="false" outlineLevel="0" collapsed="false">
      <c r="B705" s="1" t="s">
        <v>296</v>
      </c>
      <c r="F705" s="55" t="s">
        <v>297</v>
      </c>
      <c r="G705" s="56"/>
      <c r="H705" s="99" t="n">
        <v>0.03</v>
      </c>
      <c r="I705" s="28" t="n">
        <v>2.64</v>
      </c>
      <c r="J705" s="28" t="n">
        <f aca="false">H705*I705</f>
        <v>0.0792</v>
      </c>
    </row>
    <row r="706" customFormat="false" ht="15" hidden="false" customHeight="false" outlineLevel="0" collapsed="false">
      <c r="B706" s="1" t="s">
        <v>681</v>
      </c>
      <c r="F706" s="55" t="s">
        <v>297</v>
      </c>
      <c r="G706" s="56"/>
      <c r="H706" s="99" t="n">
        <v>1.05</v>
      </c>
      <c r="I706" s="28" t="n">
        <f aca="false">1012.71*3.379/1000</f>
        <v>3.42194709</v>
      </c>
      <c r="J706" s="28" t="n">
        <f aca="false">H706*I706</f>
        <v>3.5930444445</v>
      </c>
    </row>
    <row r="707" customFormat="false" ht="15" hidden="false" customHeight="false" outlineLevel="0" collapsed="false">
      <c r="F707" s="55"/>
      <c r="G707" s="56"/>
      <c r="J707" s="86" t="n">
        <f aca="false">SUM(J705:J706)</f>
        <v>3.6722444445</v>
      </c>
    </row>
    <row r="708" customFormat="false" ht="15" hidden="false" customHeight="false" outlineLevel="0" collapsed="false">
      <c r="B708" s="87" t="s">
        <v>318</v>
      </c>
      <c r="F708" s="55"/>
      <c r="G708" s="56"/>
    </row>
    <row r="709" customFormat="false" ht="15" hidden="false" customHeight="false" outlineLevel="0" collapsed="false">
      <c r="B709" s="1" t="s">
        <v>311</v>
      </c>
      <c r="F709" s="55" t="s">
        <v>312</v>
      </c>
      <c r="H709" s="57" t="n">
        <v>3</v>
      </c>
      <c r="I709" s="28" t="n">
        <f aca="false">J703</f>
        <v>1.758368</v>
      </c>
      <c r="J709" s="28" t="n">
        <f aca="false">H709%*I709</f>
        <v>0.05275104</v>
      </c>
    </row>
    <row r="710" customFormat="false" ht="15" hidden="false" customHeight="false" outlineLevel="0" collapsed="false">
      <c r="A710" s="60"/>
      <c r="B710" s="60"/>
      <c r="C710" s="60"/>
      <c r="D710" s="60"/>
      <c r="E710" s="60"/>
      <c r="F710" s="60"/>
      <c r="G710" s="60"/>
      <c r="H710" s="60"/>
      <c r="I710" s="60"/>
      <c r="J710" s="89" t="n">
        <f aca="false">SUM(J709:J709)</f>
        <v>0.05275104</v>
      </c>
    </row>
    <row r="712" customFormat="false" ht="15" hidden="false" customHeight="false" outlineLevel="0" collapsed="false">
      <c r="A712" s="82" t="s">
        <v>278</v>
      </c>
      <c r="B712" s="14" t="str">
        <f aca="false">ESTRUCTURA!A58</f>
        <v>02.03.09.04</v>
      </c>
      <c r="C712" s="82" t="s">
        <v>565</v>
      </c>
    </row>
    <row r="713" customFormat="false" ht="15" hidden="false" customHeight="false" outlineLevel="0" collapsed="false">
      <c r="A713" s="82" t="s">
        <v>279</v>
      </c>
      <c r="B713" s="82" t="s">
        <v>708</v>
      </c>
      <c r="C713" s="84" t="s">
        <v>281</v>
      </c>
      <c r="D713" s="85" t="n">
        <v>1600</v>
      </c>
      <c r="E713" s="84" t="s">
        <v>282</v>
      </c>
      <c r="F713" s="85" t="n">
        <f aca="false">D713</f>
        <v>1600</v>
      </c>
      <c r="G713" s="82" t="s">
        <v>283</v>
      </c>
      <c r="I713" s="84" t="s">
        <v>150</v>
      </c>
      <c r="J713" s="86" t="n">
        <f aca="false">J719+J723+J726</f>
        <v>2.715605</v>
      </c>
    </row>
    <row r="714" customFormat="false" ht="15" hidden="false" customHeight="false" outlineLevel="0" collapsed="false">
      <c r="A714" s="82" t="s">
        <v>284</v>
      </c>
      <c r="B714" s="82" t="s">
        <v>285</v>
      </c>
      <c r="F714" s="84" t="s">
        <v>123</v>
      </c>
      <c r="G714" s="84" t="s">
        <v>286</v>
      </c>
      <c r="H714" s="84" t="s">
        <v>287</v>
      </c>
      <c r="I714" s="84" t="s">
        <v>288</v>
      </c>
      <c r="J714" s="84" t="s">
        <v>289</v>
      </c>
    </row>
    <row r="715" customFormat="false" ht="15" hidden="false" customHeight="false" outlineLevel="0" collapsed="false">
      <c r="B715" s="87" t="s">
        <v>290</v>
      </c>
      <c r="G715" s="56"/>
    </row>
    <row r="716" customFormat="false" ht="15" hidden="false" customHeight="false" outlineLevel="0" collapsed="false">
      <c r="B716" s="1" t="s">
        <v>291</v>
      </c>
      <c r="F716" s="55" t="s">
        <v>292</v>
      </c>
      <c r="G716" s="56" t="n">
        <v>1</v>
      </c>
      <c r="H716" s="57" t="n">
        <f aca="false">G716*8/$D$713</f>
        <v>0.005</v>
      </c>
      <c r="I716" s="1" t="n">
        <v>28.94</v>
      </c>
      <c r="J716" s="28" t="n">
        <f aca="false">H716*I716</f>
        <v>0.1447</v>
      </c>
    </row>
    <row r="717" customFormat="false" ht="15" hidden="false" customHeight="false" outlineLevel="0" collapsed="false">
      <c r="B717" s="1" t="s">
        <v>680</v>
      </c>
      <c r="F717" s="55" t="s">
        <v>292</v>
      </c>
      <c r="G717" s="56" t="n">
        <v>1</v>
      </c>
      <c r="H717" s="57" t="n">
        <f aca="false">G717*8/$D$713</f>
        <v>0.005</v>
      </c>
      <c r="I717" s="1" t="n">
        <v>23.6</v>
      </c>
      <c r="J717" s="28" t="n">
        <f aca="false">H717*I717</f>
        <v>0.118</v>
      </c>
    </row>
    <row r="718" customFormat="false" ht="15" hidden="false" customHeight="false" outlineLevel="0" collapsed="false">
      <c r="B718" s="1" t="s">
        <v>294</v>
      </c>
      <c r="F718" s="55" t="s">
        <v>292</v>
      </c>
      <c r="G718" s="56" t="n">
        <v>6</v>
      </c>
      <c r="H718" s="57" t="n">
        <f aca="false">G718*8/$D$713</f>
        <v>0.03</v>
      </c>
      <c r="I718" s="1" t="n">
        <v>21.36</v>
      </c>
      <c r="J718" s="28" t="n">
        <f aca="false">H718*I718</f>
        <v>0.6408</v>
      </c>
    </row>
    <row r="719" customFormat="false" ht="15" hidden="false" customHeight="false" outlineLevel="0" collapsed="false">
      <c r="F719" s="55"/>
      <c r="G719" s="56"/>
      <c r="J719" s="86" t="n">
        <f aca="false">SUM(J716:J718)</f>
        <v>0.9035</v>
      </c>
    </row>
    <row r="720" customFormat="false" ht="15" hidden="false" customHeight="false" outlineLevel="0" collapsed="false">
      <c r="B720" s="87" t="s">
        <v>295</v>
      </c>
      <c r="F720" s="55"/>
      <c r="G720" s="56"/>
      <c r="H720" s="99"/>
    </row>
    <row r="721" customFormat="false" ht="15" hidden="false" customHeight="false" outlineLevel="0" collapsed="false">
      <c r="B721" s="1" t="s">
        <v>709</v>
      </c>
      <c r="F721" s="55" t="s">
        <v>150</v>
      </c>
      <c r="G721" s="56"/>
      <c r="H721" s="99" t="n">
        <v>1.05</v>
      </c>
      <c r="I721" s="28" t="n">
        <v>1.7</v>
      </c>
      <c r="J721" s="28" t="n">
        <f aca="false">H721*I721</f>
        <v>1.785</v>
      </c>
    </row>
    <row r="722" customFormat="false" ht="15" hidden="false" customHeight="false" outlineLevel="0" collapsed="false">
      <c r="F722" s="55"/>
      <c r="G722" s="56"/>
      <c r="H722" s="99"/>
      <c r="I722" s="28"/>
      <c r="J722" s="28"/>
    </row>
    <row r="723" customFormat="false" ht="15" hidden="false" customHeight="false" outlineLevel="0" collapsed="false">
      <c r="F723" s="55"/>
      <c r="G723" s="56"/>
      <c r="J723" s="86" t="n">
        <f aca="false">SUM(J721:J722)</f>
        <v>1.785</v>
      </c>
    </row>
    <row r="724" customFormat="false" ht="15" hidden="false" customHeight="false" outlineLevel="0" collapsed="false">
      <c r="B724" s="87" t="s">
        <v>318</v>
      </c>
      <c r="F724" s="55"/>
      <c r="G724" s="56"/>
    </row>
    <row r="725" customFormat="false" ht="15" hidden="false" customHeight="false" outlineLevel="0" collapsed="false">
      <c r="B725" s="1" t="s">
        <v>311</v>
      </c>
      <c r="F725" s="55" t="s">
        <v>312</v>
      </c>
      <c r="H725" s="57" t="n">
        <v>3</v>
      </c>
      <c r="I725" s="28" t="n">
        <f aca="false">J719</f>
        <v>0.9035</v>
      </c>
      <c r="J725" s="28" t="n">
        <f aca="false">H725%*I725</f>
        <v>0.027105</v>
      </c>
    </row>
    <row r="726" customFormat="false" ht="15" hidden="false" customHeight="false" outlineLevel="0" collapsed="false">
      <c r="A726" s="60"/>
      <c r="B726" s="60"/>
      <c r="C726" s="60"/>
      <c r="D726" s="60"/>
      <c r="E726" s="60"/>
      <c r="F726" s="60"/>
      <c r="G726" s="60"/>
      <c r="H726" s="60"/>
      <c r="I726" s="60"/>
      <c r="J726" s="89" t="n">
        <f aca="false">SUM(J725:J725)</f>
        <v>0.027105</v>
      </c>
    </row>
    <row r="728" customFormat="false" ht="15" hidden="false" customHeight="false" outlineLevel="0" collapsed="false">
      <c r="A728" s="14" t="s">
        <v>278</v>
      </c>
      <c r="B728" s="14" t="str">
        <f aca="false">ESTRUCTURA!A60</f>
        <v>02.03.10.01</v>
      </c>
      <c r="C728" s="14" t="s">
        <v>570</v>
      </c>
      <c r="D728" s="14"/>
    </row>
    <row r="729" customFormat="false" ht="15" hidden="false" customHeight="false" outlineLevel="0" collapsed="false">
      <c r="A729" s="14" t="s">
        <v>279</v>
      </c>
      <c r="B729" s="14" t="s">
        <v>417</v>
      </c>
      <c r="C729" s="36" t="s">
        <v>281</v>
      </c>
      <c r="D729" s="52" t="n">
        <v>20</v>
      </c>
      <c r="E729" s="36" t="s">
        <v>282</v>
      </c>
      <c r="F729" s="52" t="n">
        <f aca="false">D729</f>
        <v>20</v>
      </c>
      <c r="G729" s="14" t="s">
        <v>283</v>
      </c>
      <c r="I729" s="36" t="s">
        <v>204</v>
      </c>
      <c r="J729" s="53" t="n">
        <f aca="false">J738+J745+J751</f>
        <v>471.73034</v>
      </c>
    </row>
    <row r="730" customFormat="false" ht="15" hidden="false" customHeight="false" outlineLevel="0" collapsed="false">
      <c r="A730" s="14" t="s">
        <v>284</v>
      </c>
      <c r="B730" s="14" t="s">
        <v>285</v>
      </c>
      <c r="F730" s="36" t="s">
        <v>123</v>
      </c>
      <c r="G730" s="36" t="s">
        <v>286</v>
      </c>
      <c r="H730" s="36" t="s">
        <v>287</v>
      </c>
      <c r="I730" s="36" t="s">
        <v>288</v>
      </c>
      <c r="J730" s="36" t="s">
        <v>289</v>
      </c>
    </row>
    <row r="731" customFormat="false" ht="15" hidden="false" customHeight="false" outlineLevel="0" collapsed="false">
      <c r="B731" s="54" t="s">
        <v>290</v>
      </c>
    </row>
    <row r="732" customFormat="false" ht="15" hidden="false" customHeight="false" outlineLevel="0" collapsed="false">
      <c r="F732" s="55"/>
      <c r="G732" s="56"/>
      <c r="H732" s="57"/>
      <c r="I732" s="47"/>
      <c r="J732" s="28"/>
    </row>
    <row r="733" customFormat="false" ht="15" hidden="false" customHeight="false" outlineLevel="0" collapsed="false">
      <c r="B733" s="1" t="s">
        <v>651</v>
      </c>
      <c r="F733" s="55" t="s">
        <v>292</v>
      </c>
      <c r="G733" s="56" t="n">
        <v>0.2</v>
      </c>
      <c r="H733" s="57" t="n">
        <f aca="false">G733*8/$D$729</f>
        <v>0.08</v>
      </c>
      <c r="I733" s="1" t="n">
        <v>34.73</v>
      </c>
      <c r="J733" s="28" t="n">
        <f aca="false">H733*I733</f>
        <v>2.7784</v>
      </c>
    </row>
    <row r="734" customFormat="false" ht="15" hidden="false" customHeight="false" outlineLevel="0" collapsed="false">
      <c r="B734" s="1" t="s">
        <v>291</v>
      </c>
      <c r="F734" s="55" t="s">
        <v>292</v>
      </c>
      <c r="G734" s="56" t="n">
        <v>2</v>
      </c>
      <c r="H734" s="57" t="n">
        <f aca="false">G734*8/$D$729</f>
        <v>0.8</v>
      </c>
      <c r="I734" s="1" t="n">
        <v>28.94</v>
      </c>
      <c r="J734" s="28" t="n">
        <f aca="false">H734*I734</f>
        <v>23.152</v>
      </c>
    </row>
    <row r="735" customFormat="false" ht="15" hidden="false" customHeight="false" outlineLevel="0" collapsed="false">
      <c r="B735" s="1" t="s">
        <v>680</v>
      </c>
      <c r="F735" s="55" t="s">
        <v>292</v>
      </c>
      <c r="G735" s="56" t="n">
        <v>2</v>
      </c>
      <c r="H735" s="57" t="n">
        <f aca="false">G735*8/$D$729</f>
        <v>0.8</v>
      </c>
      <c r="I735" s="1" t="n">
        <v>23.6</v>
      </c>
      <c r="J735" s="28" t="n">
        <f aca="false">H735*I735</f>
        <v>18.88</v>
      </c>
    </row>
    <row r="736" customFormat="false" ht="15" hidden="false" customHeight="false" outlineLevel="0" collapsed="false">
      <c r="B736" s="1" t="s">
        <v>294</v>
      </c>
      <c r="F736" s="55" t="s">
        <v>292</v>
      </c>
      <c r="G736" s="56" t="n">
        <v>12</v>
      </c>
      <c r="H736" s="57" t="n">
        <f aca="false">G736*8/$D$729</f>
        <v>4.8</v>
      </c>
      <c r="I736" s="1" t="n">
        <v>21.36</v>
      </c>
      <c r="J736" s="28" t="n">
        <f aca="false">H736*I736</f>
        <v>102.528</v>
      </c>
    </row>
    <row r="737" customFormat="false" ht="15" hidden="false" customHeight="false" outlineLevel="0" collapsed="false">
      <c r="B737" s="1" t="s">
        <v>664</v>
      </c>
      <c r="F737" s="55" t="s">
        <v>292</v>
      </c>
      <c r="G737" s="56" t="n">
        <v>2</v>
      </c>
      <c r="H737" s="57" t="n">
        <f aca="false">G737*8/$D$729</f>
        <v>0.8</v>
      </c>
      <c r="I737" s="1" t="n">
        <v>29.94</v>
      </c>
      <c r="J737" s="28" t="n">
        <f aca="false">H737*I737</f>
        <v>23.952</v>
      </c>
    </row>
    <row r="738" customFormat="false" ht="15" hidden="false" customHeight="false" outlineLevel="0" collapsed="false">
      <c r="F738" s="55"/>
      <c r="J738" s="53" t="n">
        <f aca="false">SUM(J732:J736)</f>
        <v>147.3384</v>
      </c>
    </row>
    <row r="739" customFormat="false" ht="15" hidden="false" customHeight="false" outlineLevel="0" collapsed="false">
      <c r="B739" s="54" t="s">
        <v>654</v>
      </c>
    </row>
    <row r="740" customFormat="false" ht="15" hidden="false" customHeight="false" outlineLevel="0" collapsed="false">
      <c r="B740" s="1" t="s">
        <v>699</v>
      </c>
      <c r="F740" s="55" t="s">
        <v>440</v>
      </c>
      <c r="H740" s="57" t="n">
        <v>0.186</v>
      </c>
      <c r="I740" s="28" t="n">
        <v>13.93</v>
      </c>
      <c r="J740" s="28" t="n">
        <f aca="false">H740*I740</f>
        <v>2.59098</v>
      </c>
    </row>
    <row r="741" customFormat="false" ht="15" hidden="false" customHeight="false" outlineLevel="0" collapsed="false">
      <c r="B741" s="1" t="s">
        <v>700</v>
      </c>
      <c r="F741" s="55" t="s">
        <v>204</v>
      </c>
      <c r="H741" s="57" t="n">
        <v>0.53</v>
      </c>
      <c r="I741" s="28" t="n">
        <v>55.08</v>
      </c>
      <c r="J741" s="28" t="n">
        <f aca="false">H741*I741</f>
        <v>29.1924</v>
      </c>
    </row>
    <row r="742" customFormat="false" ht="15" hidden="false" customHeight="false" outlineLevel="0" collapsed="false">
      <c r="B742" s="1" t="s">
        <v>701</v>
      </c>
      <c r="F742" s="55" t="s">
        <v>204</v>
      </c>
      <c r="H742" s="57" t="n">
        <v>0.52</v>
      </c>
      <c r="I742" s="28" t="n">
        <v>47</v>
      </c>
      <c r="J742" s="28" t="n">
        <f aca="false">H742*I742</f>
        <v>24.44</v>
      </c>
    </row>
    <row r="743" customFormat="false" ht="15" hidden="false" customHeight="false" outlineLevel="0" collapsed="false">
      <c r="B743" s="1" t="s">
        <v>665</v>
      </c>
      <c r="F743" s="55" t="s">
        <v>204</v>
      </c>
      <c r="H743" s="57" t="n">
        <v>0.186</v>
      </c>
      <c r="I743" s="28" t="n">
        <v>6.14</v>
      </c>
      <c r="J743" s="28" t="n">
        <f aca="false">H743*I743</f>
        <v>1.14204</v>
      </c>
    </row>
    <row r="744" customFormat="false" ht="15" hidden="false" customHeight="false" outlineLevel="0" collapsed="false">
      <c r="B744" s="1" t="s">
        <v>702</v>
      </c>
      <c r="F744" s="55" t="s">
        <v>308</v>
      </c>
      <c r="H744" s="57" t="n">
        <v>9.73</v>
      </c>
      <c r="I744" s="28" t="n">
        <v>24.52</v>
      </c>
      <c r="J744" s="28" t="n">
        <f aca="false">H744*I744</f>
        <v>238.5796</v>
      </c>
    </row>
    <row r="745" customFormat="false" ht="15" hidden="false" customHeight="false" outlineLevel="0" collapsed="false">
      <c r="F745" s="55"/>
      <c r="H745" s="57"/>
      <c r="I745" s="28"/>
      <c r="J745" s="53" t="n">
        <f aca="false">SUM(J740:J744)</f>
        <v>295.94502</v>
      </c>
    </row>
    <row r="746" customFormat="false" ht="15" hidden="false" customHeight="false" outlineLevel="0" collapsed="false">
      <c r="B746" s="54" t="s">
        <v>310</v>
      </c>
    </row>
    <row r="747" customFormat="false" ht="15" hidden="false" customHeight="false" outlineLevel="0" collapsed="false">
      <c r="B747" s="1" t="s">
        <v>703</v>
      </c>
      <c r="F747" s="55" t="s">
        <v>338</v>
      </c>
      <c r="G747" s="56" t="n">
        <v>1</v>
      </c>
      <c r="H747" s="57" t="n">
        <f aca="false">G747*8/$D$729</f>
        <v>0.4</v>
      </c>
      <c r="I747" s="28" t="n">
        <v>25.63</v>
      </c>
      <c r="J747" s="28" t="n">
        <f aca="false">H747*I747</f>
        <v>10.252</v>
      </c>
    </row>
    <row r="748" customFormat="false" ht="15" hidden="false" customHeight="false" outlineLevel="0" collapsed="false">
      <c r="B748" s="1" t="s">
        <v>704</v>
      </c>
      <c r="F748" s="55" t="s">
        <v>338</v>
      </c>
      <c r="G748" s="56" t="n">
        <v>1</v>
      </c>
      <c r="H748" s="57" t="n">
        <f aca="false">G748*8/$D$729</f>
        <v>0.4</v>
      </c>
      <c r="I748" s="28" t="n">
        <v>7.07</v>
      </c>
      <c r="J748" s="28" t="n">
        <f aca="false">H748*I748</f>
        <v>2.828</v>
      </c>
    </row>
    <row r="749" customFormat="false" ht="15" hidden="false" customHeight="false" outlineLevel="0" collapsed="false">
      <c r="B749" s="1" t="s">
        <v>710</v>
      </c>
      <c r="F749" s="55" t="s">
        <v>338</v>
      </c>
      <c r="G749" s="56" t="n">
        <v>1</v>
      </c>
      <c r="H749" s="57" t="n">
        <f aca="false">G749*8/$D$729</f>
        <v>0.4</v>
      </c>
      <c r="I749" s="28" t="n">
        <v>20</v>
      </c>
      <c r="J749" s="28" t="n">
        <f aca="false">H749*I749</f>
        <v>8</v>
      </c>
    </row>
    <row r="750" customFormat="false" ht="15" hidden="false" customHeight="false" outlineLevel="0" collapsed="false">
      <c r="B750" s="1" t="s">
        <v>311</v>
      </c>
      <c r="F750" s="55" t="s">
        <v>312</v>
      </c>
      <c r="H750" s="57" t="n">
        <v>5</v>
      </c>
      <c r="I750" s="28" t="n">
        <f aca="false">J738</f>
        <v>147.3384</v>
      </c>
      <c r="J750" s="28" t="n">
        <f aca="false">H750%*I750</f>
        <v>7.36692</v>
      </c>
    </row>
    <row r="751" customFormat="false" ht="15" hidden="false" customHeight="false" outlineLevel="0" collapsed="false">
      <c r="A751" s="60"/>
      <c r="B751" s="60"/>
      <c r="C751" s="60"/>
      <c r="D751" s="60"/>
      <c r="E751" s="60"/>
      <c r="F751" s="60"/>
      <c r="G751" s="60"/>
      <c r="H751" s="60"/>
      <c r="I751" s="80"/>
      <c r="J751" s="61" t="n">
        <f aca="false">SUM(J747:J750)</f>
        <v>28.44692</v>
      </c>
    </row>
    <row r="753" customFormat="false" ht="15" hidden="false" customHeight="false" outlineLevel="0" collapsed="false">
      <c r="A753" s="14" t="s">
        <v>278</v>
      </c>
      <c r="B753" s="14" t="str">
        <f aca="false">ESTRUCTURA!A61</f>
        <v>02.03.10.02</v>
      </c>
      <c r="C753" s="14" t="s">
        <v>572</v>
      </c>
      <c r="D753" s="14"/>
    </row>
    <row r="754" customFormat="false" ht="15" hidden="false" customHeight="false" outlineLevel="0" collapsed="false">
      <c r="A754" s="14" t="s">
        <v>279</v>
      </c>
      <c r="B754" s="14" t="s">
        <v>280</v>
      </c>
      <c r="C754" s="36" t="s">
        <v>281</v>
      </c>
      <c r="D754" s="52" t="n">
        <v>12</v>
      </c>
      <c r="E754" s="36" t="s">
        <v>282</v>
      </c>
      <c r="F754" s="52" t="n">
        <f aca="false">D754</f>
        <v>12</v>
      </c>
      <c r="G754" s="14" t="s">
        <v>283</v>
      </c>
      <c r="I754" s="36" t="s">
        <v>134</v>
      </c>
      <c r="J754" s="53" t="n">
        <f aca="false">J760+J765+J768</f>
        <v>67.9480666666667</v>
      </c>
    </row>
    <row r="755" customFormat="false" ht="15" hidden="false" customHeight="false" outlineLevel="0" collapsed="false">
      <c r="A755" s="14" t="s">
        <v>284</v>
      </c>
      <c r="B755" s="14" t="s">
        <v>285</v>
      </c>
      <c r="F755" s="36" t="s">
        <v>123</v>
      </c>
      <c r="G755" s="36" t="s">
        <v>286</v>
      </c>
      <c r="H755" s="36" t="s">
        <v>287</v>
      </c>
      <c r="I755" s="36" t="s">
        <v>288</v>
      </c>
      <c r="J755" s="36" t="s">
        <v>289</v>
      </c>
    </row>
    <row r="756" customFormat="false" ht="15" hidden="false" customHeight="false" outlineLevel="0" collapsed="false">
      <c r="B756" s="54" t="s">
        <v>290</v>
      </c>
      <c r="P756" s="14"/>
    </row>
    <row r="757" customFormat="false" ht="15" hidden="false" customHeight="false" outlineLevel="0" collapsed="false">
      <c r="B757" s="1" t="s">
        <v>291</v>
      </c>
      <c r="F757" s="55" t="s">
        <v>292</v>
      </c>
      <c r="G757" s="56" t="n">
        <v>1</v>
      </c>
      <c r="H757" s="57" t="n">
        <f aca="false">G757*8/$D$754</f>
        <v>0.666666666666667</v>
      </c>
      <c r="I757" s="47" t="n">
        <v>28.94</v>
      </c>
      <c r="J757" s="28" t="n">
        <f aca="false">H757*I757</f>
        <v>19.2933333333333</v>
      </c>
      <c r="P757" s="14"/>
    </row>
    <row r="758" customFormat="false" ht="15" hidden="false" customHeight="false" outlineLevel="0" collapsed="false">
      <c r="B758" s="1" t="s">
        <v>680</v>
      </c>
      <c r="F758" s="55" t="s">
        <v>292</v>
      </c>
      <c r="G758" s="56" t="n">
        <v>1</v>
      </c>
      <c r="H758" s="57" t="n">
        <f aca="false">G758*8/$D$754</f>
        <v>0.666666666666667</v>
      </c>
      <c r="I758" s="1" t="n">
        <v>23.6</v>
      </c>
      <c r="J758" s="28" t="n">
        <f aca="false">H758*I758</f>
        <v>15.7333333333333</v>
      </c>
      <c r="P758" s="14"/>
    </row>
    <row r="759" customFormat="false" ht="15" hidden="false" customHeight="false" outlineLevel="0" collapsed="false">
      <c r="B759" s="1" t="s">
        <v>294</v>
      </c>
      <c r="F759" s="55" t="s">
        <v>292</v>
      </c>
      <c r="G759" s="56" t="n">
        <v>0.5</v>
      </c>
      <c r="H759" s="57" t="n">
        <f aca="false">G759*8/$D$754</f>
        <v>0.333333333333333</v>
      </c>
      <c r="I759" s="1" t="n">
        <v>21.36</v>
      </c>
      <c r="J759" s="28" t="n">
        <f aca="false">H759*I759</f>
        <v>7.12</v>
      </c>
      <c r="P759" s="14"/>
    </row>
    <row r="760" customFormat="false" ht="15" hidden="false" customHeight="false" outlineLevel="0" collapsed="false">
      <c r="F760" s="55"/>
      <c r="J760" s="53" t="n">
        <f aca="false">SUM(J757:J759)</f>
        <v>42.1466666666667</v>
      </c>
      <c r="O760" s="14"/>
      <c r="P760" s="14"/>
    </row>
    <row r="761" customFormat="false" ht="15" hidden="false" customHeight="false" outlineLevel="0" collapsed="false">
      <c r="B761" s="54" t="s">
        <v>654</v>
      </c>
      <c r="P761" s="14"/>
    </row>
    <row r="762" customFormat="false" ht="15" hidden="false" customHeight="false" outlineLevel="0" collapsed="false">
      <c r="B762" s="1" t="s">
        <v>689</v>
      </c>
      <c r="F762" s="55" t="s">
        <v>297</v>
      </c>
      <c r="H762" s="57" t="n">
        <v>0.1</v>
      </c>
      <c r="I762" s="28" t="n">
        <v>2.64</v>
      </c>
      <c r="J762" s="28" t="n">
        <f aca="false">H762*I762</f>
        <v>0.264</v>
      </c>
      <c r="P762" s="14"/>
    </row>
    <row r="763" customFormat="false" ht="15" hidden="false" customHeight="false" outlineLevel="0" collapsed="false">
      <c r="B763" s="1" t="s">
        <v>302</v>
      </c>
      <c r="F763" s="55" t="s">
        <v>297</v>
      </c>
      <c r="H763" s="57" t="n">
        <v>0.1</v>
      </c>
      <c r="I763" s="28" t="n">
        <v>5.51</v>
      </c>
      <c r="J763" s="28" t="n">
        <f aca="false">H763*I763</f>
        <v>0.551</v>
      </c>
      <c r="P763" s="14"/>
    </row>
    <row r="764" customFormat="false" ht="15" hidden="false" customHeight="false" outlineLevel="0" collapsed="false">
      <c r="B764" s="1" t="s">
        <v>670</v>
      </c>
      <c r="F764" s="55" t="s">
        <v>297</v>
      </c>
      <c r="H764" s="57" t="n">
        <v>4.09</v>
      </c>
      <c r="I764" s="28" t="n">
        <v>5.8</v>
      </c>
      <c r="J764" s="28" t="n">
        <f aca="false">H764*I764</f>
        <v>23.722</v>
      </c>
      <c r="O764" s="14"/>
      <c r="P764" s="14"/>
    </row>
    <row r="765" customFormat="false" ht="15" hidden="false" customHeight="false" outlineLevel="0" collapsed="false">
      <c r="J765" s="53" t="n">
        <f aca="false">SUM(J762:J764)</f>
        <v>24.537</v>
      </c>
    </row>
    <row r="766" customFormat="false" ht="15" hidden="false" customHeight="false" outlineLevel="0" collapsed="false">
      <c r="B766" s="54" t="s">
        <v>310</v>
      </c>
    </row>
    <row r="767" customFormat="false" ht="15" hidden="false" customHeight="false" outlineLevel="0" collapsed="false">
      <c r="B767" s="1" t="s">
        <v>311</v>
      </c>
      <c r="F767" s="55" t="s">
        <v>312</v>
      </c>
      <c r="H767" s="57" t="n">
        <v>3</v>
      </c>
      <c r="I767" s="28" t="n">
        <f aca="false">J760</f>
        <v>42.1466666666667</v>
      </c>
      <c r="J767" s="28" t="n">
        <f aca="false">H767%*I767</f>
        <v>1.2644</v>
      </c>
    </row>
    <row r="768" customFormat="false" ht="15" hidden="false" customHeight="false" outlineLevel="0" collapsed="false">
      <c r="A768" s="60"/>
      <c r="B768" s="60"/>
      <c r="C768" s="60"/>
      <c r="D768" s="60"/>
      <c r="E768" s="60"/>
      <c r="F768" s="60"/>
      <c r="G768" s="60"/>
      <c r="H768" s="60"/>
      <c r="I768" s="60"/>
      <c r="J768" s="61" t="n">
        <f aca="false">SUM(J767)</f>
        <v>1.2644</v>
      </c>
    </row>
    <row r="770" customFormat="false" ht="15" hidden="false" customHeight="false" outlineLevel="0" collapsed="false">
      <c r="A770" s="82" t="s">
        <v>278</v>
      </c>
      <c r="B770" s="14" t="str">
        <f aca="false">ESTRUCTURA!A62</f>
        <v>02.03.10.03</v>
      </c>
      <c r="C770" s="82" t="s">
        <v>711</v>
      </c>
    </row>
    <row r="771" customFormat="false" ht="15" hidden="false" customHeight="false" outlineLevel="0" collapsed="false">
      <c r="A771" s="82" t="s">
        <v>279</v>
      </c>
      <c r="B771" s="82" t="s">
        <v>706</v>
      </c>
      <c r="C771" s="84" t="s">
        <v>281</v>
      </c>
      <c r="D771" s="85" t="n">
        <v>250</v>
      </c>
      <c r="E771" s="84" t="s">
        <v>282</v>
      </c>
      <c r="F771" s="85" t="n">
        <f aca="false">D771</f>
        <v>250</v>
      </c>
      <c r="G771" s="82" t="s">
        <v>283</v>
      </c>
      <c r="I771" s="84" t="s">
        <v>707</v>
      </c>
      <c r="J771" s="86" t="n">
        <f aca="false">J777+J781+J784</f>
        <v>5.4833634845</v>
      </c>
    </row>
    <row r="772" customFormat="false" ht="15" hidden="false" customHeight="false" outlineLevel="0" collapsed="false">
      <c r="A772" s="82" t="s">
        <v>284</v>
      </c>
      <c r="B772" s="82" t="s">
        <v>285</v>
      </c>
      <c r="F772" s="84" t="s">
        <v>123</v>
      </c>
      <c r="G772" s="84" t="s">
        <v>286</v>
      </c>
      <c r="H772" s="84" t="s">
        <v>287</v>
      </c>
      <c r="I772" s="84" t="s">
        <v>288</v>
      </c>
      <c r="J772" s="84" t="s">
        <v>289</v>
      </c>
    </row>
    <row r="773" customFormat="false" ht="15" hidden="false" customHeight="false" outlineLevel="0" collapsed="false">
      <c r="B773" s="87" t="s">
        <v>290</v>
      </c>
      <c r="G773" s="56"/>
    </row>
    <row r="774" customFormat="false" ht="15" hidden="false" customHeight="false" outlineLevel="0" collapsed="false">
      <c r="B774" s="1" t="s">
        <v>291</v>
      </c>
      <c r="F774" s="55" t="s">
        <v>292</v>
      </c>
      <c r="G774" s="56" t="n">
        <v>1</v>
      </c>
      <c r="H774" s="99" t="n">
        <f aca="false">G774*8/$D$771</f>
        <v>0.032</v>
      </c>
      <c r="I774" s="47" t="n">
        <v>29.99</v>
      </c>
      <c r="J774" s="28" t="n">
        <f aca="false">H774*I774</f>
        <v>0.95968</v>
      </c>
    </row>
    <row r="775" customFormat="false" ht="15" hidden="false" customHeight="false" outlineLevel="0" collapsed="false">
      <c r="B775" s="1" t="s">
        <v>680</v>
      </c>
      <c r="F775" s="55" t="s">
        <v>292</v>
      </c>
      <c r="G775" s="56" t="n">
        <v>1</v>
      </c>
      <c r="H775" s="99" t="n">
        <f aca="false">G775*8/$D$771</f>
        <v>0.032</v>
      </c>
      <c r="I775" s="1" t="n">
        <v>21.36</v>
      </c>
      <c r="J775" s="28" t="n">
        <f aca="false">H775*I775</f>
        <v>0.68352</v>
      </c>
    </row>
    <row r="776" customFormat="false" ht="15" hidden="false" customHeight="false" outlineLevel="0" collapsed="false">
      <c r="B776" s="1" t="s">
        <v>651</v>
      </c>
      <c r="F776" s="55" t="s">
        <v>292</v>
      </c>
      <c r="G776" s="56" t="n">
        <v>0.1</v>
      </c>
      <c r="H776" s="99" t="n">
        <f aca="false">G776*8/$D$771</f>
        <v>0.0032</v>
      </c>
      <c r="I776" s="47" t="n">
        <v>35.99</v>
      </c>
      <c r="J776" s="28" t="n">
        <f aca="false">H776*I776</f>
        <v>0.115168</v>
      </c>
    </row>
    <row r="777" customFormat="false" ht="15" hidden="false" customHeight="false" outlineLevel="0" collapsed="false">
      <c r="F777" s="55"/>
      <c r="G777" s="56"/>
      <c r="J777" s="86" t="n">
        <f aca="false">SUM(J774:J776)</f>
        <v>1.758368</v>
      </c>
    </row>
    <row r="778" customFormat="false" ht="15" hidden="false" customHeight="false" outlineLevel="0" collapsed="false">
      <c r="B778" s="87" t="s">
        <v>295</v>
      </c>
      <c r="F778" s="55"/>
      <c r="G778" s="56"/>
      <c r="H778" s="99"/>
    </row>
    <row r="779" customFormat="false" ht="15" hidden="false" customHeight="false" outlineLevel="0" collapsed="false">
      <c r="B779" s="1" t="s">
        <v>296</v>
      </c>
      <c r="F779" s="55" t="s">
        <v>297</v>
      </c>
      <c r="G779" s="56"/>
      <c r="H779" s="99" t="n">
        <v>0.03</v>
      </c>
      <c r="I779" s="28" t="n">
        <v>2.64</v>
      </c>
      <c r="J779" s="28" t="n">
        <f aca="false">H779*I779</f>
        <v>0.0792</v>
      </c>
    </row>
    <row r="780" customFormat="false" ht="15" hidden="false" customHeight="false" outlineLevel="0" collapsed="false">
      <c r="B780" s="1" t="s">
        <v>681</v>
      </c>
      <c r="F780" s="55" t="s">
        <v>297</v>
      </c>
      <c r="G780" s="56"/>
      <c r="H780" s="99" t="n">
        <v>1.05</v>
      </c>
      <c r="I780" s="28" t="n">
        <f aca="false">1012.71*3.379/1000</f>
        <v>3.42194709</v>
      </c>
      <c r="J780" s="28" t="n">
        <f aca="false">H780*I780</f>
        <v>3.5930444445</v>
      </c>
    </row>
    <row r="781" customFormat="false" ht="15" hidden="false" customHeight="false" outlineLevel="0" collapsed="false">
      <c r="F781" s="55"/>
      <c r="G781" s="56"/>
      <c r="J781" s="86" t="n">
        <f aca="false">SUM(J779:J780)</f>
        <v>3.6722444445</v>
      </c>
    </row>
    <row r="782" customFormat="false" ht="15" hidden="false" customHeight="false" outlineLevel="0" collapsed="false">
      <c r="B782" s="87" t="s">
        <v>318</v>
      </c>
      <c r="F782" s="55"/>
      <c r="G782" s="56"/>
    </row>
    <row r="783" customFormat="false" ht="15" hidden="false" customHeight="false" outlineLevel="0" collapsed="false">
      <c r="B783" s="1" t="s">
        <v>311</v>
      </c>
      <c r="F783" s="55" t="s">
        <v>312</v>
      </c>
      <c r="H783" s="57" t="n">
        <v>3</v>
      </c>
      <c r="I783" s="28" t="n">
        <f aca="false">J777</f>
        <v>1.758368</v>
      </c>
      <c r="J783" s="28" t="n">
        <f aca="false">H783%*I783</f>
        <v>0.05275104</v>
      </c>
    </row>
    <row r="784" customFormat="false" ht="15" hidden="false" customHeight="false" outlineLevel="0" collapsed="false">
      <c r="A784" s="60"/>
      <c r="B784" s="60"/>
      <c r="C784" s="60"/>
      <c r="D784" s="60"/>
      <c r="E784" s="60"/>
      <c r="F784" s="60"/>
      <c r="G784" s="60"/>
      <c r="H784" s="60"/>
      <c r="I784" s="60"/>
      <c r="J784" s="89" t="n">
        <f aca="false">SUM(J783:J783)</f>
        <v>0.05275104</v>
      </c>
    </row>
    <row r="786" customFormat="false" ht="15" hidden="false" customHeight="false" outlineLevel="0" collapsed="false">
      <c r="A786" s="82" t="s">
        <v>278</v>
      </c>
      <c r="B786" s="14" t="str">
        <f aca="false">ESTRUCTURA!A64</f>
        <v>02.03.11.01</v>
      </c>
      <c r="C786" s="82" t="s">
        <v>578</v>
      </c>
      <c r="D786" s="82"/>
    </row>
    <row r="787" customFormat="false" ht="15" hidden="false" customHeight="false" outlineLevel="0" collapsed="false">
      <c r="A787" s="82" t="s">
        <v>279</v>
      </c>
      <c r="B787" s="82" t="s">
        <v>417</v>
      </c>
      <c r="C787" s="84" t="s">
        <v>281</v>
      </c>
      <c r="D787" s="85" t="n">
        <v>15</v>
      </c>
      <c r="E787" s="84" t="s">
        <v>282</v>
      </c>
      <c r="F787" s="85" t="n">
        <f aca="false">D787</f>
        <v>15</v>
      </c>
      <c r="G787" s="82" t="s">
        <v>283</v>
      </c>
      <c r="I787" s="84" t="s">
        <v>204</v>
      </c>
      <c r="J787" s="86" t="n">
        <f aca="false">J793+J800+J805</f>
        <v>402.684786666667</v>
      </c>
    </row>
    <row r="788" customFormat="false" ht="15" hidden="false" customHeight="false" outlineLevel="0" collapsed="false">
      <c r="A788" s="82" t="s">
        <v>284</v>
      </c>
      <c r="B788" s="82" t="s">
        <v>285</v>
      </c>
      <c r="F788" s="84" t="s">
        <v>123</v>
      </c>
      <c r="G788" s="84" t="s">
        <v>286</v>
      </c>
      <c r="H788" s="84" t="s">
        <v>287</v>
      </c>
      <c r="I788" s="84" t="s">
        <v>288</v>
      </c>
      <c r="J788" s="84" t="s">
        <v>289</v>
      </c>
    </row>
    <row r="789" customFormat="false" ht="15" hidden="false" customHeight="false" outlineLevel="0" collapsed="false">
      <c r="B789" s="87" t="s">
        <v>290</v>
      </c>
    </row>
    <row r="790" customFormat="false" ht="15" hidden="false" customHeight="false" outlineLevel="0" collapsed="false">
      <c r="B790" s="1" t="s">
        <v>291</v>
      </c>
      <c r="F790" s="55" t="s">
        <v>292</v>
      </c>
      <c r="G790" s="56" t="n">
        <v>1</v>
      </c>
      <c r="H790" s="57" t="n">
        <f aca="false">G790*8/$D$787</f>
        <v>0.533333333333333</v>
      </c>
      <c r="I790" s="28" t="n">
        <v>28.94</v>
      </c>
      <c r="J790" s="28" t="n">
        <f aca="false">H790*I790</f>
        <v>15.4346666666667</v>
      </c>
    </row>
    <row r="791" customFormat="false" ht="15" hidden="false" customHeight="false" outlineLevel="0" collapsed="false">
      <c r="B791" s="1" t="s">
        <v>293</v>
      </c>
      <c r="F791" s="55" t="s">
        <v>292</v>
      </c>
      <c r="G791" s="56" t="n">
        <v>2</v>
      </c>
      <c r="H791" s="57" t="n">
        <f aca="false">G791*8/$D$787</f>
        <v>1.06666666666667</v>
      </c>
      <c r="I791" s="28" t="n">
        <v>23.6</v>
      </c>
      <c r="J791" s="28" t="n">
        <f aca="false">H791*I791</f>
        <v>25.1733333333333</v>
      </c>
    </row>
    <row r="792" customFormat="false" ht="15" hidden="false" customHeight="false" outlineLevel="0" collapsed="false">
      <c r="B792" s="1" t="s">
        <v>294</v>
      </c>
      <c r="F792" s="55" t="s">
        <v>292</v>
      </c>
      <c r="G792" s="56" t="n">
        <v>4</v>
      </c>
      <c r="H792" s="57" t="n">
        <f aca="false">G792*8/$D$787</f>
        <v>2.13333333333333</v>
      </c>
      <c r="I792" s="28" t="n">
        <v>21.36</v>
      </c>
      <c r="J792" s="28" t="n">
        <f aca="false">H792*I792</f>
        <v>45.568</v>
      </c>
    </row>
    <row r="793" customFormat="false" ht="15" hidden="false" customHeight="false" outlineLevel="0" collapsed="false">
      <c r="F793" s="55"/>
      <c r="G793" s="56"/>
      <c r="H793" s="57"/>
      <c r="J793" s="86" t="n">
        <f aca="false">SUM(J790:J792)</f>
        <v>86.176</v>
      </c>
    </row>
    <row r="794" customFormat="false" ht="15" hidden="false" customHeight="false" outlineLevel="0" collapsed="false">
      <c r="B794" s="87" t="s">
        <v>654</v>
      </c>
      <c r="F794" s="55"/>
      <c r="G794" s="56"/>
      <c r="H794" s="57"/>
      <c r="J794" s="28"/>
    </row>
    <row r="795" customFormat="false" ht="15" hidden="false" customHeight="false" outlineLevel="0" collapsed="false">
      <c r="B795" s="1" t="s">
        <v>673</v>
      </c>
      <c r="F795" s="55" t="s">
        <v>204</v>
      </c>
      <c r="H795" s="57" t="n">
        <v>0.53</v>
      </c>
      <c r="I795" s="28" t="n">
        <v>55.08</v>
      </c>
      <c r="J795" s="28" t="n">
        <f aca="false">H795*I795</f>
        <v>29.1924</v>
      </c>
    </row>
    <row r="796" customFormat="false" ht="15" hidden="false" customHeight="false" outlineLevel="0" collapsed="false">
      <c r="B796" s="1" t="s">
        <v>674</v>
      </c>
      <c r="F796" s="55" t="s">
        <v>204</v>
      </c>
      <c r="H796" s="57" t="n">
        <v>0.52</v>
      </c>
      <c r="I796" s="28" t="n">
        <v>47</v>
      </c>
      <c r="J796" s="28" t="n">
        <f aca="false">H796*I796</f>
        <v>24.44</v>
      </c>
    </row>
    <row r="797" customFormat="false" ht="15" hidden="false" customHeight="false" outlineLevel="0" collapsed="false">
      <c r="B797" s="1" t="s">
        <v>307</v>
      </c>
      <c r="F797" s="55" t="s">
        <v>308</v>
      </c>
      <c r="H797" s="57" t="n">
        <v>9.73</v>
      </c>
      <c r="I797" s="28" t="n">
        <v>24.52</v>
      </c>
      <c r="J797" s="28" t="n">
        <f aca="false">H797*I797</f>
        <v>238.5796</v>
      </c>
    </row>
    <row r="798" customFormat="false" ht="15" hidden="false" customHeight="false" outlineLevel="0" collapsed="false">
      <c r="B798" s="1" t="s">
        <v>656</v>
      </c>
      <c r="F798" s="55" t="s">
        <v>204</v>
      </c>
      <c r="H798" s="57" t="n">
        <v>0.186</v>
      </c>
      <c r="I798" s="1" t="n">
        <v>6.14</v>
      </c>
      <c r="J798" s="28" t="n">
        <f aca="false">H798*I798</f>
        <v>1.14204</v>
      </c>
    </row>
    <row r="799" customFormat="false" ht="15" hidden="false" customHeight="false" outlineLevel="0" collapsed="false">
      <c r="B799" s="1" t="s">
        <v>666</v>
      </c>
      <c r="F799" s="55" t="s">
        <v>440</v>
      </c>
      <c r="H799" s="57" t="n">
        <v>0.36</v>
      </c>
      <c r="I799" s="1" t="n">
        <v>13.93</v>
      </c>
      <c r="J799" s="28" t="n">
        <f aca="false">H799*I799</f>
        <v>5.0148</v>
      </c>
    </row>
    <row r="800" customFormat="false" ht="15" hidden="false" customHeight="false" outlineLevel="0" collapsed="false">
      <c r="F800" s="55"/>
      <c r="H800" s="57"/>
      <c r="I800" s="28"/>
      <c r="J800" s="86" t="n">
        <f aca="false">SUM(J795:J799)</f>
        <v>298.36884</v>
      </c>
    </row>
    <row r="801" customFormat="false" ht="15" hidden="false" customHeight="false" outlineLevel="0" collapsed="false">
      <c r="B801" s="87" t="s">
        <v>310</v>
      </c>
    </row>
    <row r="802" customFormat="false" ht="15" hidden="false" customHeight="false" outlineLevel="0" collapsed="false">
      <c r="B802" s="1" t="s">
        <v>311</v>
      </c>
      <c r="F802" s="55" t="s">
        <v>312</v>
      </c>
      <c r="H802" s="57" t="n">
        <v>3</v>
      </c>
      <c r="I802" s="28" t="n">
        <f aca="false">J793</f>
        <v>86.176</v>
      </c>
      <c r="J802" s="28" t="n">
        <f aca="false">H802%*I802</f>
        <v>2.58528</v>
      </c>
    </row>
    <row r="803" customFormat="false" ht="15" hidden="false" customHeight="false" outlineLevel="0" collapsed="false">
      <c r="B803" s="1" t="s">
        <v>668</v>
      </c>
      <c r="F803" s="55" t="s">
        <v>338</v>
      </c>
      <c r="G803" s="56" t="n">
        <v>1</v>
      </c>
      <c r="H803" s="57" t="n">
        <f aca="false">G803*8/$D$787</f>
        <v>0.533333333333333</v>
      </c>
      <c r="I803" s="28" t="n">
        <v>25.63</v>
      </c>
      <c r="J803" s="28" t="n">
        <f aca="false">H803*I803</f>
        <v>13.6693333333333</v>
      </c>
    </row>
    <row r="804" customFormat="false" ht="15" hidden="false" customHeight="false" outlineLevel="0" collapsed="false">
      <c r="B804" s="1" t="s">
        <v>676</v>
      </c>
      <c r="F804" s="55" t="s">
        <v>338</v>
      </c>
      <c r="G804" s="56" t="n">
        <v>0.5</v>
      </c>
      <c r="H804" s="57" t="n">
        <f aca="false">G804*8/$D$787</f>
        <v>0.266666666666667</v>
      </c>
      <c r="I804" s="28" t="n">
        <v>7.07</v>
      </c>
      <c r="J804" s="28" t="n">
        <f aca="false">H804*I804</f>
        <v>1.88533333333333</v>
      </c>
    </row>
    <row r="805" customFormat="false" ht="15" hidden="false" customHeight="false" outlineLevel="0" collapsed="false">
      <c r="A805" s="60"/>
      <c r="B805" s="60"/>
      <c r="C805" s="60"/>
      <c r="D805" s="60"/>
      <c r="E805" s="60"/>
      <c r="F805" s="60"/>
      <c r="G805" s="60"/>
      <c r="H805" s="60"/>
      <c r="I805" s="60"/>
      <c r="J805" s="89" t="n">
        <f aca="false">SUM(J802:J804)</f>
        <v>18.1399466666667</v>
      </c>
      <c r="AU805" s="82"/>
      <c r="AV805" s="82"/>
      <c r="AW805" s="82"/>
      <c r="AX805" s="82"/>
    </row>
    <row r="806" customFormat="false" ht="15" hidden="false" customHeight="false" outlineLevel="0" collapsed="false">
      <c r="AU806" s="82"/>
      <c r="AV806" s="82"/>
      <c r="AW806" s="84"/>
      <c r="AX806" s="85"/>
      <c r="AY806" s="84"/>
      <c r="AZ806" s="85"/>
      <c r="BA806" s="82"/>
      <c r="BC806" s="84"/>
      <c r="BD806" s="86"/>
    </row>
    <row r="807" customFormat="false" ht="15" hidden="false" customHeight="false" outlineLevel="0" collapsed="false">
      <c r="A807" s="82" t="s">
        <v>278</v>
      </c>
      <c r="B807" s="14" t="str">
        <f aca="false">ESTRUCTURA!A65</f>
        <v>02.03.11.02</v>
      </c>
      <c r="C807" s="82" t="s">
        <v>580</v>
      </c>
      <c r="D807" s="82"/>
      <c r="AU807" s="82"/>
      <c r="AV807" s="82"/>
      <c r="AZ807" s="84"/>
      <c r="BA807" s="84"/>
      <c r="BB807" s="84"/>
      <c r="BC807" s="84"/>
      <c r="BD807" s="84"/>
    </row>
    <row r="808" customFormat="false" ht="15" hidden="false" customHeight="false" outlineLevel="0" collapsed="false">
      <c r="A808" s="82" t="s">
        <v>279</v>
      </c>
      <c r="B808" s="82" t="s">
        <v>280</v>
      </c>
      <c r="C808" s="84" t="s">
        <v>281</v>
      </c>
      <c r="D808" s="85" t="n">
        <v>35</v>
      </c>
      <c r="E808" s="84" t="s">
        <v>282</v>
      </c>
      <c r="F808" s="85" t="n">
        <f aca="false">D808</f>
        <v>35</v>
      </c>
      <c r="G808" s="82" t="s">
        <v>283</v>
      </c>
      <c r="I808" s="84" t="s">
        <v>134</v>
      </c>
      <c r="J808" s="86" t="n">
        <f aca="false">J814+J819+J822</f>
        <v>47.5915742857143</v>
      </c>
      <c r="AV808" s="87"/>
    </row>
    <row r="809" customFormat="false" ht="15" hidden="false" customHeight="false" outlineLevel="0" collapsed="false">
      <c r="A809" s="82" t="s">
        <v>284</v>
      </c>
      <c r="B809" s="82" t="s">
        <v>285</v>
      </c>
      <c r="F809" s="84" t="s">
        <v>123</v>
      </c>
      <c r="G809" s="84" t="s">
        <v>286</v>
      </c>
      <c r="H809" s="84" t="s">
        <v>287</v>
      </c>
      <c r="I809" s="84" t="s">
        <v>288</v>
      </c>
      <c r="J809" s="84" t="s">
        <v>289</v>
      </c>
      <c r="AZ809" s="55"/>
      <c r="BA809" s="56"/>
      <c r="BB809" s="57"/>
      <c r="BC809" s="28"/>
      <c r="BD809" s="28"/>
    </row>
    <row r="810" customFormat="false" ht="15" hidden="false" customHeight="false" outlineLevel="0" collapsed="false">
      <c r="B810" s="87" t="s">
        <v>290</v>
      </c>
      <c r="AZ810" s="55"/>
      <c r="BA810" s="56"/>
      <c r="BB810" s="57"/>
      <c r="BC810" s="28"/>
      <c r="BD810" s="28"/>
    </row>
    <row r="811" customFormat="false" ht="15" hidden="false" customHeight="false" outlineLevel="0" collapsed="false">
      <c r="B811" s="1" t="s">
        <v>291</v>
      </c>
      <c r="F811" s="55" t="s">
        <v>292</v>
      </c>
      <c r="G811" s="56" t="n">
        <v>2</v>
      </c>
      <c r="H811" s="57" t="n">
        <f aca="false">G811*8/$D$808</f>
        <v>0.457142857142857</v>
      </c>
      <c r="I811" s="28" t="n">
        <v>28.94</v>
      </c>
      <c r="J811" s="28" t="n">
        <f aca="false">H811*I811</f>
        <v>13.2297142857143</v>
      </c>
      <c r="AZ811" s="55"/>
      <c r="BA811" s="56"/>
      <c r="BB811" s="57"/>
      <c r="BC811" s="28"/>
      <c r="BD811" s="28"/>
    </row>
    <row r="812" customFormat="false" ht="15" hidden="false" customHeight="false" outlineLevel="0" collapsed="false">
      <c r="B812" s="1" t="s">
        <v>293</v>
      </c>
      <c r="F812" s="55" t="s">
        <v>292</v>
      </c>
      <c r="G812" s="56" t="n">
        <v>1</v>
      </c>
      <c r="H812" s="57" t="n">
        <f aca="false">G812*8/$D$808</f>
        <v>0.228571428571429</v>
      </c>
      <c r="I812" s="28" t="n">
        <v>23.6</v>
      </c>
      <c r="J812" s="28" t="n">
        <f aca="false">H812*I812</f>
        <v>5.39428571428571</v>
      </c>
      <c r="AZ812" s="55"/>
      <c r="BA812" s="56"/>
      <c r="BB812" s="57"/>
      <c r="BD812" s="86"/>
    </row>
    <row r="813" customFormat="false" ht="15" hidden="false" customHeight="false" outlineLevel="0" collapsed="false">
      <c r="B813" s="1" t="s">
        <v>294</v>
      </c>
      <c r="F813" s="55" t="s">
        <v>292</v>
      </c>
      <c r="G813" s="56" t="n">
        <v>1</v>
      </c>
      <c r="H813" s="57" t="n">
        <f aca="false">G813*8/$D$808</f>
        <v>0.228571428571429</v>
      </c>
      <c r="I813" s="28" t="n">
        <v>21.36</v>
      </c>
      <c r="J813" s="28" t="n">
        <f aca="false">H813*I813</f>
        <v>4.88228571428571</v>
      </c>
      <c r="AV813" s="87"/>
      <c r="AZ813" s="55"/>
      <c r="BA813" s="56"/>
      <c r="BB813" s="57"/>
      <c r="BD813" s="28"/>
    </row>
    <row r="814" customFormat="false" ht="15" hidden="false" customHeight="false" outlineLevel="0" collapsed="false">
      <c r="F814" s="55"/>
      <c r="G814" s="56"/>
      <c r="H814" s="57"/>
      <c r="J814" s="86" t="n">
        <f aca="false">SUM(J811:J813)</f>
        <v>23.5062857142857</v>
      </c>
      <c r="AZ814" s="55"/>
      <c r="BB814" s="57"/>
      <c r="BC814" s="28"/>
      <c r="BD814" s="28"/>
    </row>
    <row r="815" customFormat="false" ht="15" hidden="false" customHeight="false" outlineLevel="0" collapsed="false">
      <c r="B815" s="87" t="s">
        <v>654</v>
      </c>
      <c r="F815" s="55"/>
      <c r="G815" s="56"/>
      <c r="H815" s="57"/>
      <c r="J815" s="28"/>
      <c r="AZ815" s="55"/>
      <c r="BB815" s="57"/>
      <c r="BC815" s="28"/>
      <c r="BD815" s="28"/>
    </row>
    <row r="816" customFormat="false" ht="15" hidden="false" customHeight="false" outlineLevel="0" collapsed="false">
      <c r="B816" s="1" t="s">
        <v>689</v>
      </c>
      <c r="F816" s="55" t="s">
        <v>297</v>
      </c>
      <c r="H816" s="57" t="n">
        <v>0.3</v>
      </c>
      <c r="I816" s="28" t="n">
        <v>2.64</v>
      </c>
      <c r="J816" s="28" t="n">
        <f aca="false">H816*I816</f>
        <v>0.792</v>
      </c>
      <c r="AZ816" s="55"/>
      <c r="BB816" s="57"/>
      <c r="BC816" s="28"/>
      <c r="BD816" s="28"/>
    </row>
    <row r="817" customFormat="false" ht="15" hidden="false" customHeight="false" outlineLevel="0" collapsed="false">
      <c r="B817" s="1" t="s">
        <v>302</v>
      </c>
      <c r="F817" s="55" t="s">
        <v>297</v>
      </c>
      <c r="H817" s="57" t="n">
        <v>0.31</v>
      </c>
      <c r="I817" s="28" t="n">
        <v>5.51</v>
      </c>
      <c r="J817" s="28" t="n">
        <f aca="false">H817*I817</f>
        <v>1.7081</v>
      </c>
      <c r="AZ817" s="55"/>
      <c r="BB817" s="57"/>
      <c r="BD817" s="28"/>
    </row>
    <row r="818" customFormat="false" ht="15" hidden="false" customHeight="false" outlineLevel="0" collapsed="false">
      <c r="B818" s="1" t="s">
        <v>670</v>
      </c>
      <c r="F818" s="55" t="s">
        <v>306</v>
      </c>
      <c r="H818" s="57" t="n">
        <v>3.6</v>
      </c>
      <c r="I818" s="28" t="n">
        <v>5.8</v>
      </c>
      <c r="J818" s="28" t="n">
        <f aca="false">H818*I818</f>
        <v>20.88</v>
      </c>
      <c r="AZ818" s="55"/>
      <c r="BB818" s="57"/>
      <c r="BD818" s="28"/>
    </row>
    <row r="819" customFormat="false" ht="15" hidden="false" customHeight="false" outlineLevel="0" collapsed="false">
      <c r="F819" s="55"/>
      <c r="H819" s="57"/>
      <c r="I819" s="28"/>
      <c r="J819" s="86" t="n">
        <f aca="false">SUM(J816:J818)</f>
        <v>23.3801</v>
      </c>
      <c r="AZ819" s="55"/>
      <c r="BB819" s="57"/>
      <c r="BC819" s="28"/>
      <c r="BD819" s="86"/>
    </row>
    <row r="820" customFormat="false" ht="15" hidden="false" customHeight="false" outlineLevel="0" collapsed="false">
      <c r="B820" s="87" t="s">
        <v>310</v>
      </c>
      <c r="AV820" s="87"/>
    </row>
    <row r="821" customFormat="false" ht="15" hidden="false" customHeight="false" outlineLevel="0" collapsed="false">
      <c r="B821" s="1" t="s">
        <v>311</v>
      </c>
      <c r="F821" s="55" t="s">
        <v>312</v>
      </c>
      <c r="H821" s="57" t="n">
        <v>3</v>
      </c>
      <c r="I821" s="28" t="n">
        <f aca="false">J814</f>
        <v>23.5062857142857</v>
      </c>
      <c r="J821" s="28" t="n">
        <f aca="false">H821%*I821</f>
        <v>0.705188571428571</v>
      </c>
      <c r="AZ821" s="55"/>
      <c r="BB821" s="57"/>
      <c r="BC821" s="28"/>
      <c r="BD821" s="28"/>
    </row>
    <row r="822" customFormat="false" ht="15" hidden="false" customHeight="false" outlineLevel="0" collapsed="false">
      <c r="A822" s="60"/>
      <c r="B822" s="60"/>
      <c r="C822" s="60"/>
      <c r="D822" s="60"/>
      <c r="E822" s="60"/>
      <c r="F822" s="60"/>
      <c r="G822" s="60"/>
      <c r="H822" s="60"/>
      <c r="I822" s="60"/>
      <c r="J822" s="89" t="n">
        <f aca="false">SUM(J821)</f>
        <v>0.705188571428571</v>
      </c>
      <c r="AZ822" s="55"/>
      <c r="BA822" s="56"/>
      <c r="BB822" s="57"/>
      <c r="BC822" s="28"/>
      <c r="BD822" s="28"/>
    </row>
    <row r="823" customFormat="false" ht="15" hidden="false" customHeight="false" outlineLevel="0" collapsed="false">
      <c r="AZ823" s="55"/>
      <c r="BA823" s="56"/>
      <c r="BB823" s="57"/>
      <c r="BC823" s="28"/>
      <c r="BD823" s="28"/>
    </row>
    <row r="824" customFormat="false" ht="15" hidden="false" customHeight="false" outlineLevel="0" collapsed="false">
      <c r="A824" s="82" t="s">
        <v>278</v>
      </c>
      <c r="B824" s="14" t="str">
        <f aca="false">ESTRUCTURA!A66</f>
        <v>02.03.11.03</v>
      </c>
      <c r="C824" s="82" t="s">
        <v>582</v>
      </c>
      <c r="D824" s="82"/>
      <c r="AU824" s="60"/>
      <c r="AV824" s="60"/>
      <c r="AW824" s="60"/>
      <c r="AX824" s="60"/>
      <c r="AY824" s="60"/>
      <c r="AZ824" s="60"/>
      <c r="BA824" s="60"/>
      <c r="BB824" s="60"/>
      <c r="BC824" s="60"/>
      <c r="BD824" s="89"/>
    </row>
    <row r="825" customFormat="false" ht="15" hidden="false" customHeight="false" outlineLevel="0" collapsed="false">
      <c r="A825" s="82" t="s">
        <v>279</v>
      </c>
      <c r="B825" s="82" t="s">
        <v>280</v>
      </c>
      <c r="C825" s="84" t="s">
        <v>281</v>
      </c>
      <c r="D825" s="85" t="n">
        <v>250</v>
      </c>
      <c r="E825" s="84" t="s">
        <v>282</v>
      </c>
      <c r="F825" s="85" t="n">
        <f aca="false">D825</f>
        <v>250</v>
      </c>
      <c r="G825" s="82" t="s">
        <v>283</v>
      </c>
      <c r="I825" s="84" t="s">
        <v>134</v>
      </c>
      <c r="J825" s="86" t="n">
        <f aca="false">J830+J834+J838</f>
        <v>5.5639628445</v>
      </c>
    </row>
    <row r="826" customFormat="false" ht="15" hidden="false" customHeight="false" outlineLevel="0" collapsed="false">
      <c r="A826" s="82" t="s">
        <v>284</v>
      </c>
      <c r="B826" s="82" t="s">
        <v>285</v>
      </c>
      <c r="F826" s="84" t="s">
        <v>123</v>
      </c>
      <c r="G826" s="84" t="s">
        <v>286</v>
      </c>
      <c r="H826" s="84" t="s">
        <v>287</v>
      </c>
      <c r="I826" s="84" t="s">
        <v>288</v>
      </c>
      <c r="J826" s="84" t="s">
        <v>289</v>
      </c>
    </row>
    <row r="827" customFormat="false" ht="15" hidden="false" customHeight="false" outlineLevel="0" collapsed="false">
      <c r="B827" s="87" t="s">
        <v>290</v>
      </c>
    </row>
    <row r="828" customFormat="false" ht="15" hidden="false" customHeight="false" outlineLevel="0" collapsed="false">
      <c r="B828" s="1" t="s">
        <v>291</v>
      </c>
      <c r="F828" s="55" t="s">
        <v>292</v>
      </c>
      <c r="G828" s="56" t="n">
        <v>1</v>
      </c>
      <c r="H828" s="99" t="n">
        <f aca="false">G828*8/$D$825</f>
        <v>0.032</v>
      </c>
      <c r="I828" s="28" t="n">
        <v>28.94</v>
      </c>
      <c r="J828" s="28" t="n">
        <f aca="false">H828*I828</f>
        <v>0.92608</v>
      </c>
    </row>
    <row r="829" customFormat="false" ht="15" hidden="false" customHeight="false" outlineLevel="0" collapsed="false">
      <c r="B829" s="1" t="s">
        <v>680</v>
      </c>
      <c r="F829" s="55" t="s">
        <v>292</v>
      </c>
      <c r="G829" s="56" t="n">
        <v>1</v>
      </c>
      <c r="H829" s="99" t="n">
        <f aca="false">G829*8/$D$825</f>
        <v>0.032</v>
      </c>
      <c r="I829" s="28" t="n">
        <v>23.6</v>
      </c>
      <c r="J829" s="28" t="n">
        <f aca="false">H829*I829</f>
        <v>0.7552</v>
      </c>
    </row>
    <row r="830" customFormat="false" ht="15" hidden="false" customHeight="false" outlineLevel="0" collapsed="false">
      <c r="F830" s="55"/>
      <c r="G830" s="56"/>
      <c r="J830" s="86" t="n">
        <f aca="false">SUM(J828:J829)</f>
        <v>1.68128</v>
      </c>
    </row>
    <row r="831" customFormat="false" ht="15" hidden="false" customHeight="false" outlineLevel="0" collapsed="false">
      <c r="B831" s="87" t="s">
        <v>295</v>
      </c>
      <c r="F831" s="55"/>
      <c r="G831" s="56"/>
      <c r="H831" s="99"/>
      <c r="O831" s="14"/>
    </row>
    <row r="832" customFormat="false" ht="15" hidden="false" customHeight="false" outlineLevel="0" collapsed="false">
      <c r="B832" s="1" t="s">
        <v>296</v>
      </c>
      <c r="F832" s="55" t="s">
        <v>297</v>
      </c>
      <c r="G832" s="56"/>
      <c r="H832" s="99" t="n">
        <v>0.03</v>
      </c>
      <c r="I832" s="28" t="n">
        <v>2.64</v>
      </c>
      <c r="J832" s="28" t="n">
        <f aca="false">H832*I832</f>
        <v>0.0792</v>
      </c>
      <c r="O832" s="14"/>
    </row>
    <row r="833" customFormat="false" ht="15" hidden="false" customHeight="false" outlineLevel="0" collapsed="false">
      <c r="B833" s="1" t="s">
        <v>681</v>
      </c>
      <c r="F833" s="55" t="s">
        <v>297</v>
      </c>
      <c r="G833" s="56"/>
      <c r="H833" s="99" t="n">
        <v>1.05</v>
      </c>
      <c r="I833" s="28" t="n">
        <f aca="false">1012.71*3.379/1000</f>
        <v>3.42194709</v>
      </c>
      <c r="J833" s="28" t="n">
        <f aca="false">H833*I833</f>
        <v>3.5930444445</v>
      </c>
      <c r="O833" s="14"/>
    </row>
    <row r="834" customFormat="false" ht="15" hidden="false" customHeight="false" outlineLevel="0" collapsed="false">
      <c r="F834" s="55"/>
      <c r="G834" s="56"/>
      <c r="J834" s="86" t="n">
        <f aca="false">SUM(J832:J833)</f>
        <v>3.6722444445</v>
      </c>
      <c r="N834" s="14"/>
      <c r="O834" s="14"/>
    </row>
    <row r="835" customFormat="false" ht="15" hidden="false" customHeight="false" outlineLevel="0" collapsed="false">
      <c r="B835" s="87" t="s">
        <v>318</v>
      </c>
      <c r="F835" s="55"/>
      <c r="G835" s="56"/>
    </row>
    <row r="836" customFormat="false" ht="15" hidden="false" customHeight="false" outlineLevel="0" collapsed="false">
      <c r="B836" s="1" t="s">
        <v>311</v>
      </c>
      <c r="F836" s="55" t="s">
        <v>312</v>
      </c>
      <c r="H836" s="57" t="n">
        <v>3</v>
      </c>
      <c r="I836" s="28" t="n">
        <f aca="false">J830</f>
        <v>1.68128</v>
      </c>
      <c r="J836" s="28" t="n">
        <f aca="false">H836%*I836</f>
        <v>0.0504384</v>
      </c>
    </row>
    <row r="837" customFormat="false" ht="15" hidden="false" customHeight="false" outlineLevel="0" collapsed="false">
      <c r="B837" s="1" t="s">
        <v>682</v>
      </c>
      <c r="F837" s="55" t="s">
        <v>292</v>
      </c>
      <c r="G837" s="56" t="n">
        <v>1</v>
      </c>
      <c r="H837" s="99" t="n">
        <f aca="false">G837*8/$D$825</f>
        <v>0.032</v>
      </c>
      <c r="I837" s="46" t="n">
        <v>5</v>
      </c>
      <c r="J837" s="28" t="n">
        <f aca="false">H837*I837</f>
        <v>0.16</v>
      </c>
    </row>
    <row r="838" customFormat="false" ht="15" hidden="false" customHeight="false" outlineLevel="0" collapsed="false">
      <c r="A838" s="60"/>
      <c r="B838" s="60"/>
      <c r="C838" s="60"/>
      <c r="D838" s="60"/>
      <c r="E838" s="60"/>
      <c r="F838" s="60"/>
      <c r="G838" s="60"/>
      <c r="H838" s="60"/>
      <c r="I838" s="60"/>
      <c r="J838" s="89" t="n">
        <f aca="false">SUM(J836:J837)</f>
        <v>0.2104384</v>
      </c>
    </row>
    <row r="840" customFormat="false" ht="15" hidden="false" customHeight="false" outlineLevel="0" collapsed="false">
      <c r="A840" s="82" t="s">
        <v>278</v>
      </c>
      <c r="B840" s="82" t="str">
        <f aca="false">ESTRUCTURA!A68</f>
        <v>02.03.12.01</v>
      </c>
      <c r="C840" s="82" t="s">
        <v>712</v>
      </c>
      <c r="D840" s="82"/>
    </row>
    <row r="841" customFormat="false" ht="15" hidden="false" customHeight="false" outlineLevel="0" collapsed="false">
      <c r="A841" s="82" t="s">
        <v>279</v>
      </c>
      <c r="B841" s="82" t="s">
        <v>417</v>
      </c>
      <c r="C841" s="84" t="s">
        <v>281</v>
      </c>
      <c r="D841" s="85" t="n">
        <v>6</v>
      </c>
      <c r="E841" s="84" t="s">
        <v>282</v>
      </c>
      <c r="F841" s="85" t="n">
        <f aca="false">D841</f>
        <v>6</v>
      </c>
      <c r="G841" s="82" t="s">
        <v>283</v>
      </c>
      <c r="I841" s="84" t="s">
        <v>204</v>
      </c>
      <c r="J841" s="86" t="n">
        <f aca="false">J847+J856+J862</f>
        <v>554.637093333333</v>
      </c>
    </row>
    <row r="842" customFormat="false" ht="15" hidden="false" customHeight="false" outlineLevel="0" collapsed="false">
      <c r="A842" s="82" t="s">
        <v>284</v>
      </c>
      <c r="B842" s="82" t="s">
        <v>285</v>
      </c>
      <c r="F842" s="84" t="s">
        <v>123</v>
      </c>
      <c r="G842" s="84" t="s">
        <v>286</v>
      </c>
      <c r="H842" s="84" t="s">
        <v>287</v>
      </c>
      <c r="I842" s="84" t="s">
        <v>288</v>
      </c>
      <c r="J842" s="84" t="s">
        <v>289</v>
      </c>
    </row>
    <row r="843" customFormat="false" ht="15" hidden="false" customHeight="false" outlineLevel="0" collapsed="false">
      <c r="B843" s="87" t="s">
        <v>290</v>
      </c>
    </row>
    <row r="844" customFormat="false" ht="15" hidden="false" customHeight="false" outlineLevel="0" collapsed="false">
      <c r="B844" s="1" t="s">
        <v>291</v>
      </c>
      <c r="F844" s="55" t="s">
        <v>292</v>
      </c>
      <c r="G844" s="56" t="n">
        <v>1</v>
      </c>
      <c r="H844" s="57" t="n">
        <f aca="false">G844*8/$D$841</f>
        <v>1.33333333333333</v>
      </c>
      <c r="I844" s="28" t="n">
        <v>28.94</v>
      </c>
      <c r="J844" s="28" t="n">
        <f aca="false">H844*I844</f>
        <v>38.5866666666667</v>
      </c>
    </row>
    <row r="845" customFormat="false" ht="15" hidden="false" customHeight="false" outlineLevel="0" collapsed="false">
      <c r="B845" s="1" t="s">
        <v>293</v>
      </c>
      <c r="F845" s="55" t="s">
        <v>292</v>
      </c>
      <c r="G845" s="56" t="n">
        <v>1</v>
      </c>
      <c r="H845" s="57" t="n">
        <f aca="false">G845*8/$D$841</f>
        <v>1.33333333333333</v>
      </c>
      <c r="I845" s="28" t="n">
        <v>23.6</v>
      </c>
      <c r="J845" s="28" t="n">
        <f aca="false">H845*I845</f>
        <v>31.4666666666667</v>
      </c>
    </row>
    <row r="846" customFormat="false" ht="15" hidden="false" customHeight="false" outlineLevel="0" collapsed="false">
      <c r="B846" s="1" t="s">
        <v>294</v>
      </c>
      <c r="F846" s="55" t="s">
        <v>292</v>
      </c>
      <c r="G846" s="56" t="n">
        <v>5</v>
      </c>
      <c r="H846" s="57" t="n">
        <f aca="false">G846*8/$D$841</f>
        <v>6.66666666666667</v>
      </c>
      <c r="I846" s="28" t="n">
        <v>21.36</v>
      </c>
      <c r="J846" s="28" t="n">
        <f aca="false">H846*I846</f>
        <v>142.4</v>
      </c>
    </row>
    <row r="847" customFormat="false" ht="15" hidden="false" customHeight="false" outlineLevel="0" collapsed="false">
      <c r="F847" s="55"/>
      <c r="G847" s="56"/>
      <c r="H847" s="57"/>
      <c r="J847" s="86" t="n">
        <f aca="false">SUM(J844:J846)</f>
        <v>212.453333333333</v>
      </c>
    </row>
    <row r="848" customFormat="false" ht="15" hidden="false" customHeight="false" outlineLevel="0" collapsed="false">
      <c r="B848" s="87" t="s">
        <v>654</v>
      </c>
      <c r="F848" s="55"/>
      <c r="G848" s="56"/>
      <c r="H848" s="57"/>
      <c r="J848" s="28"/>
    </row>
    <row r="849" customFormat="false" ht="15" hidden="false" customHeight="false" outlineLevel="0" collapsed="false">
      <c r="B849" s="1" t="s">
        <v>673</v>
      </c>
      <c r="F849" s="55" t="s">
        <v>204</v>
      </c>
      <c r="H849" s="57" t="n">
        <v>0.8</v>
      </c>
      <c r="I849" s="28" t="n">
        <v>55.08</v>
      </c>
      <c r="J849" s="28" t="n">
        <f aca="false">H849*I849</f>
        <v>44.064</v>
      </c>
    </row>
    <row r="850" customFormat="false" ht="15" hidden="false" customHeight="false" outlineLevel="0" collapsed="false">
      <c r="B850" s="1" t="s">
        <v>674</v>
      </c>
      <c r="F850" s="55" t="s">
        <v>204</v>
      </c>
      <c r="H850" s="57" t="n">
        <v>0.5</v>
      </c>
      <c r="I850" s="28" t="n">
        <v>47</v>
      </c>
      <c r="J850" s="28" t="n">
        <f aca="false">H850*I850</f>
        <v>23.5</v>
      </c>
    </row>
    <row r="851" customFormat="false" ht="15" hidden="false" customHeight="false" outlineLevel="0" collapsed="false">
      <c r="B851" s="1" t="s">
        <v>307</v>
      </c>
      <c r="F851" s="55" t="s">
        <v>308</v>
      </c>
      <c r="H851" s="57" t="n">
        <v>9.74</v>
      </c>
      <c r="I851" s="28" t="n">
        <v>24.52</v>
      </c>
      <c r="J851" s="28" t="n">
        <f aca="false">H851*I851</f>
        <v>238.8248</v>
      </c>
    </row>
    <row r="852" customFormat="false" ht="15" hidden="false" customHeight="false" outlineLevel="0" collapsed="false">
      <c r="B852" s="1" t="s">
        <v>656</v>
      </c>
      <c r="F852" s="55" t="s">
        <v>204</v>
      </c>
      <c r="H852" s="57" t="n">
        <v>0.184</v>
      </c>
      <c r="I852" s="1" t="n">
        <v>6.14</v>
      </c>
      <c r="J852" s="28" t="n">
        <f aca="false">H852*I852</f>
        <v>1.12976</v>
      </c>
    </row>
    <row r="853" customFormat="false" ht="15" hidden="false" customHeight="false" outlineLevel="0" collapsed="false">
      <c r="B853" s="1" t="s">
        <v>666</v>
      </c>
      <c r="F853" s="55" t="s">
        <v>440</v>
      </c>
      <c r="H853" s="57" t="n">
        <v>0.12</v>
      </c>
      <c r="I853" s="1" t="n">
        <v>13.93</v>
      </c>
      <c r="J853" s="28" t="n">
        <f aca="false">H853*I853</f>
        <v>1.6716</v>
      </c>
    </row>
    <row r="854" customFormat="false" ht="15" hidden="false" customHeight="false" outlineLevel="0" collapsed="false">
      <c r="B854" s="1" t="s">
        <v>713</v>
      </c>
      <c r="F854" s="55" t="s">
        <v>440</v>
      </c>
      <c r="H854" s="57" t="n">
        <v>0.01</v>
      </c>
      <c r="J854" s="28" t="n">
        <f aca="false">H854*I854</f>
        <v>0</v>
      </c>
    </row>
    <row r="855" customFormat="false" ht="15" hidden="false" customHeight="false" outlineLevel="0" collapsed="false">
      <c r="B855" s="1" t="s">
        <v>714</v>
      </c>
      <c r="F855" s="55" t="s">
        <v>715</v>
      </c>
      <c r="H855" s="1" t="n">
        <v>0.008</v>
      </c>
      <c r="J855" s="28" t="n">
        <f aca="false">H855*I855</f>
        <v>0</v>
      </c>
    </row>
    <row r="856" customFormat="false" ht="15" hidden="false" customHeight="false" outlineLevel="0" collapsed="false">
      <c r="F856" s="55"/>
      <c r="H856" s="57"/>
      <c r="I856" s="28"/>
      <c r="J856" s="86" t="n">
        <f aca="false">SUM(J849:J855)</f>
        <v>309.19016</v>
      </c>
    </row>
    <row r="857" customFormat="false" ht="15" hidden="false" customHeight="false" outlineLevel="0" collapsed="false">
      <c r="B857" s="87" t="s">
        <v>310</v>
      </c>
    </row>
    <row r="858" customFormat="false" ht="15" hidden="false" customHeight="false" outlineLevel="0" collapsed="false">
      <c r="B858" s="1" t="s">
        <v>311</v>
      </c>
      <c r="F858" s="55" t="s">
        <v>312</v>
      </c>
      <c r="H858" s="57" t="n">
        <v>3</v>
      </c>
      <c r="I858" s="28" t="n">
        <f aca="false">J847</f>
        <v>212.453333333333</v>
      </c>
      <c r="J858" s="28" t="n">
        <f aca="false">H858%*I858</f>
        <v>6.3736</v>
      </c>
    </row>
    <row r="859" customFormat="false" ht="15" hidden="false" customHeight="false" outlineLevel="0" collapsed="false">
      <c r="B859" s="1" t="s">
        <v>668</v>
      </c>
      <c r="F859" s="55" t="s">
        <v>338</v>
      </c>
      <c r="G859" s="56" t="n">
        <v>0.5</v>
      </c>
      <c r="H859" s="57" t="n">
        <f aca="false">G859*8/$D$841</f>
        <v>0.666666666666667</v>
      </c>
      <c r="I859" s="28" t="n">
        <v>25.63</v>
      </c>
      <c r="J859" s="28" t="n">
        <f aca="false">H859*I859</f>
        <v>17.0866666666667</v>
      </c>
    </row>
    <row r="860" customFormat="false" ht="15" hidden="false" customHeight="false" outlineLevel="0" collapsed="false">
      <c r="B860" s="1" t="s">
        <v>676</v>
      </c>
      <c r="F860" s="55" t="s">
        <v>338</v>
      </c>
      <c r="G860" s="56" t="n">
        <v>0.5</v>
      </c>
      <c r="H860" s="57" t="n">
        <f aca="false">G860*8/$D$841</f>
        <v>0.666666666666667</v>
      </c>
      <c r="I860" s="28" t="n">
        <v>7.07</v>
      </c>
      <c r="J860" s="28" t="n">
        <f aca="false">H860*I860</f>
        <v>4.71333333333333</v>
      </c>
    </row>
    <row r="861" customFormat="false" ht="15" hidden="false" customHeight="false" outlineLevel="0" collapsed="false">
      <c r="B861" s="1" t="s">
        <v>716</v>
      </c>
      <c r="F861" s="55" t="s">
        <v>338</v>
      </c>
      <c r="G861" s="56" t="n">
        <v>0.5</v>
      </c>
      <c r="H861" s="57" t="n">
        <f aca="false">G861*8/$D$841</f>
        <v>0.666666666666667</v>
      </c>
      <c r="I861" s="46" t="n">
        <v>7.23</v>
      </c>
      <c r="J861" s="28" t="n">
        <f aca="false">H861*I861</f>
        <v>4.82</v>
      </c>
    </row>
    <row r="862" customFormat="false" ht="15" hidden="false" customHeight="false" outlineLevel="0" collapsed="false">
      <c r="A862" s="60"/>
      <c r="B862" s="60"/>
      <c r="C862" s="60"/>
      <c r="D862" s="60"/>
      <c r="E862" s="60"/>
      <c r="F862" s="60"/>
      <c r="G862" s="60"/>
      <c r="H862" s="60"/>
      <c r="I862" s="60"/>
      <c r="J862" s="89" t="n">
        <f aca="false">SUM(J858:J861)</f>
        <v>32.9936</v>
      </c>
    </row>
    <row r="864" customFormat="false" ht="15" hidden="false" customHeight="false" outlineLevel="0" collapsed="false">
      <c r="A864" s="82" t="s">
        <v>278</v>
      </c>
      <c r="B864" s="82" t="str">
        <f aca="false">ESTRUCTURA!A69</f>
        <v>02.03.12.02</v>
      </c>
      <c r="C864" s="82" t="s">
        <v>717</v>
      </c>
      <c r="D864" s="82"/>
    </row>
    <row r="865" customFormat="false" ht="15" hidden="false" customHeight="false" outlineLevel="0" collapsed="false">
      <c r="A865" s="82" t="s">
        <v>279</v>
      </c>
      <c r="B865" s="82" t="s">
        <v>280</v>
      </c>
      <c r="C865" s="84" t="s">
        <v>281</v>
      </c>
      <c r="D865" s="85" t="n">
        <v>6.7</v>
      </c>
      <c r="E865" s="84" t="s">
        <v>282</v>
      </c>
      <c r="F865" s="85" t="n">
        <f aca="false">D865</f>
        <v>6.7</v>
      </c>
      <c r="G865" s="82" t="s">
        <v>283</v>
      </c>
      <c r="I865" s="84" t="s">
        <v>134</v>
      </c>
      <c r="J865" s="86" t="n">
        <f aca="false">J871+J876+J879</f>
        <v>111.805364179104</v>
      </c>
    </row>
    <row r="866" customFormat="false" ht="15" hidden="false" customHeight="false" outlineLevel="0" collapsed="false">
      <c r="A866" s="82" t="s">
        <v>284</v>
      </c>
      <c r="B866" s="82" t="s">
        <v>285</v>
      </c>
      <c r="F866" s="84" t="s">
        <v>123</v>
      </c>
      <c r="G866" s="84" t="s">
        <v>286</v>
      </c>
      <c r="H866" s="84" t="s">
        <v>287</v>
      </c>
      <c r="I866" s="84" t="s">
        <v>288</v>
      </c>
      <c r="J866" s="84" t="s">
        <v>289</v>
      </c>
    </row>
    <row r="867" customFormat="false" ht="15" hidden="false" customHeight="false" outlineLevel="0" collapsed="false">
      <c r="B867" s="87" t="s">
        <v>290</v>
      </c>
    </row>
    <row r="868" customFormat="false" ht="15" hidden="false" customHeight="false" outlineLevel="0" collapsed="false">
      <c r="B868" s="1" t="s">
        <v>291</v>
      </c>
      <c r="F868" s="55" t="s">
        <v>292</v>
      </c>
      <c r="G868" s="56" t="n">
        <v>1</v>
      </c>
      <c r="H868" s="57" t="n">
        <f aca="false">G868*8/$D$865</f>
        <v>1.19402985074627</v>
      </c>
      <c r="I868" s="28" t="n">
        <v>28.94</v>
      </c>
      <c r="J868" s="28" t="n">
        <f aca="false">H868*I868</f>
        <v>34.555223880597</v>
      </c>
    </row>
    <row r="869" customFormat="false" ht="15" hidden="false" customHeight="false" outlineLevel="0" collapsed="false">
      <c r="B869" s="1" t="s">
        <v>293</v>
      </c>
      <c r="F869" s="55" t="s">
        <v>292</v>
      </c>
      <c r="G869" s="56" t="n">
        <v>1</v>
      </c>
      <c r="H869" s="57" t="n">
        <f aca="false">G869*8/$D$865</f>
        <v>1.19402985074627</v>
      </c>
      <c r="I869" s="28" t="n">
        <v>23.6</v>
      </c>
      <c r="J869" s="28" t="n">
        <f aca="false">H869*I869</f>
        <v>28.1791044776119</v>
      </c>
    </row>
    <row r="870" customFormat="false" ht="15" hidden="false" customHeight="false" outlineLevel="0" collapsed="false">
      <c r="B870" s="1" t="s">
        <v>294</v>
      </c>
      <c r="F870" s="55" t="s">
        <v>292</v>
      </c>
      <c r="G870" s="56" t="n">
        <v>0.5</v>
      </c>
      <c r="H870" s="57" t="n">
        <f aca="false">G870*8/$D$865</f>
        <v>0.597014925373134</v>
      </c>
      <c r="I870" s="28" t="n">
        <v>21.36</v>
      </c>
      <c r="J870" s="28" t="n">
        <f aca="false">H870*I870</f>
        <v>12.7522388059701</v>
      </c>
    </row>
    <row r="871" customFormat="false" ht="15" hidden="false" customHeight="false" outlineLevel="0" collapsed="false">
      <c r="F871" s="55"/>
      <c r="G871" s="56"/>
      <c r="H871" s="57"/>
      <c r="J871" s="86" t="n">
        <f aca="false">SUM(J868:J870)</f>
        <v>75.4865671641791</v>
      </c>
    </row>
    <row r="872" customFormat="false" ht="15" hidden="false" customHeight="false" outlineLevel="0" collapsed="false">
      <c r="B872" s="87" t="s">
        <v>654</v>
      </c>
      <c r="F872" s="55"/>
      <c r="G872" s="56"/>
      <c r="H872" s="57"/>
      <c r="J872" s="28"/>
    </row>
    <row r="873" customFormat="false" ht="15" hidden="false" customHeight="false" outlineLevel="0" collapsed="false">
      <c r="B873" s="1" t="s">
        <v>689</v>
      </c>
      <c r="F873" s="55" t="s">
        <v>297</v>
      </c>
      <c r="H873" s="57" t="n">
        <v>0.08</v>
      </c>
      <c r="I873" s="28" t="n">
        <v>2.64</v>
      </c>
      <c r="J873" s="28" t="n">
        <f aca="false">H873*I873</f>
        <v>0.2112</v>
      </c>
    </row>
    <row r="874" customFormat="false" ht="15" hidden="false" customHeight="false" outlineLevel="0" collapsed="false">
      <c r="B874" s="1" t="s">
        <v>302</v>
      </c>
      <c r="F874" s="55" t="s">
        <v>297</v>
      </c>
      <c r="H874" s="57" t="n">
        <v>0.1</v>
      </c>
      <c r="I874" s="28" t="n">
        <v>5.51</v>
      </c>
      <c r="J874" s="28" t="n">
        <f aca="false">H874*I874</f>
        <v>0.551</v>
      </c>
    </row>
    <row r="875" customFormat="false" ht="15" hidden="false" customHeight="false" outlineLevel="0" collapsed="false">
      <c r="B875" s="1" t="s">
        <v>670</v>
      </c>
      <c r="F875" s="55" t="s">
        <v>306</v>
      </c>
      <c r="H875" s="57" t="n">
        <v>5.74</v>
      </c>
      <c r="I875" s="28" t="n">
        <v>5.8</v>
      </c>
      <c r="J875" s="28" t="n">
        <f aca="false">H875*I875</f>
        <v>33.292</v>
      </c>
    </row>
    <row r="876" customFormat="false" ht="15" hidden="false" customHeight="false" outlineLevel="0" collapsed="false">
      <c r="F876" s="55"/>
      <c r="H876" s="57"/>
      <c r="I876" s="28"/>
      <c r="J876" s="86" t="n">
        <f aca="false">SUM(J873:J875)</f>
        <v>34.0542</v>
      </c>
    </row>
    <row r="877" customFormat="false" ht="15" hidden="false" customHeight="false" outlineLevel="0" collapsed="false">
      <c r="B877" s="87" t="s">
        <v>310</v>
      </c>
    </row>
    <row r="878" customFormat="false" ht="15" hidden="false" customHeight="false" outlineLevel="0" collapsed="false">
      <c r="B878" s="1" t="s">
        <v>311</v>
      </c>
      <c r="F878" s="55" t="s">
        <v>312</v>
      </c>
      <c r="H878" s="57" t="n">
        <v>3</v>
      </c>
      <c r="I878" s="28" t="n">
        <f aca="false">J871</f>
        <v>75.4865671641791</v>
      </c>
      <c r="J878" s="28" t="n">
        <f aca="false">H878%*I878</f>
        <v>2.26459701492537</v>
      </c>
    </row>
    <row r="879" customFormat="false" ht="15" hidden="false" customHeight="false" outlineLevel="0" collapsed="false">
      <c r="A879" s="60"/>
      <c r="B879" s="60"/>
      <c r="C879" s="60"/>
      <c r="D879" s="60"/>
      <c r="E879" s="60"/>
      <c r="F879" s="60"/>
      <c r="G879" s="60"/>
      <c r="H879" s="60"/>
      <c r="I879" s="60"/>
      <c r="J879" s="89" t="n">
        <f aca="false">SUM(J878)</f>
        <v>2.26459701492537</v>
      </c>
    </row>
    <row r="881" customFormat="false" ht="15" hidden="false" customHeight="false" outlineLevel="0" collapsed="false">
      <c r="A881" s="82" t="s">
        <v>278</v>
      </c>
      <c r="B881" s="82" t="str">
        <f aca="false">ESTRUCTURA!A70</f>
        <v>02.03.12.03</v>
      </c>
      <c r="C881" s="82" t="s">
        <v>718</v>
      </c>
      <c r="D881" s="82"/>
    </row>
    <row r="882" customFormat="false" ht="15" hidden="false" customHeight="false" outlineLevel="0" collapsed="false">
      <c r="A882" s="82" t="s">
        <v>279</v>
      </c>
      <c r="B882" s="82" t="s">
        <v>280</v>
      </c>
      <c r="C882" s="84" t="s">
        <v>281</v>
      </c>
      <c r="D882" s="85" t="n">
        <v>250</v>
      </c>
      <c r="E882" s="84" t="s">
        <v>282</v>
      </c>
      <c r="F882" s="85" t="n">
        <f aca="false">D882</f>
        <v>250</v>
      </c>
      <c r="G882" s="82" t="s">
        <v>283</v>
      </c>
      <c r="I882" s="84" t="s">
        <v>134</v>
      </c>
      <c r="J882" s="86" t="n">
        <f aca="false">J887+J892+J896</f>
        <v>5.4995328445</v>
      </c>
    </row>
    <row r="883" customFormat="false" ht="15" hidden="false" customHeight="false" outlineLevel="0" collapsed="false">
      <c r="A883" s="82" t="s">
        <v>284</v>
      </c>
      <c r="B883" s="82" t="s">
        <v>285</v>
      </c>
      <c r="F883" s="84" t="s">
        <v>123</v>
      </c>
      <c r="G883" s="84" t="s">
        <v>286</v>
      </c>
      <c r="H883" s="84" t="s">
        <v>287</v>
      </c>
      <c r="I883" s="84" t="s">
        <v>288</v>
      </c>
      <c r="J883" s="84" t="s">
        <v>289</v>
      </c>
    </row>
    <row r="884" customFormat="false" ht="15" hidden="false" customHeight="false" outlineLevel="0" collapsed="false">
      <c r="B884" s="87" t="s">
        <v>290</v>
      </c>
    </row>
    <row r="885" customFormat="false" ht="15" hidden="false" customHeight="false" outlineLevel="0" collapsed="false">
      <c r="B885" s="1" t="s">
        <v>291</v>
      </c>
      <c r="F885" s="55" t="s">
        <v>292</v>
      </c>
      <c r="G885" s="56" t="n">
        <v>1</v>
      </c>
      <c r="H885" s="99" t="n">
        <f aca="false">G885*8/$D$882</f>
        <v>0.032</v>
      </c>
      <c r="I885" s="28" t="n">
        <v>28.94</v>
      </c>
      <c r="J885" s="28" t="n">
        <f aca="false">H885*I885</f>
        <v>0.92608</v>
      </c>
    </row>
    <row r="886" customFormat="false" ht="15" hidden="false" customHeight="false" outlineLevel="0" collapsed="false">
      <c r="B886" s="1" t="s">
        <v>680</v>
      </c>
      <c r="F886" s="55" t="s">
        <v>292</v>
      </c>
      <c r="G886" s="56" t="n">
        <v>1</v>
      </c>
      <c r="H886" s="99" t="n">
        <f aca="false">G886*8/$D$882</f>
        <v>0.032</v>
      </c>
      <c r="I886" s="28" t="n">
        <v>23.6</v>
      </c>
      <c r="J886" s="28" t="n">
        <f aca="false">H886*I886</f>
        <v>0.7552</v>
      </c>
    </row>
    <row r="887" customFormat="false" ht="15" hidden="false" customHeight="false" outlineLevel="0" collapsed="false">
      <c r="F887" s="55"/>
      <c r="G887" s="56"/>
      <c r="J887" s="86" t="n">
        <f aca="false">SUM(J885:J886)</f>
        <v>1.68128</v>
      </c>
    </row>
    <row r="888" customFormat="false" ht="15" hidden="false" customHeight="false" outlineLevel="0" collapsed="false">
      <c r="B888" s="87" t="s">
        <v>295</v>
      </c>
      <c r="F888" s="55"/>
      <c r="G888" s="56"/>
      <c r="H888" s="99"/>
    </row>
    <row r="889" customFormat="false" ht="15" hidden="false" customHeight="false" outlineLevel="0" collapsed="false">
      <c r="B889" s="1" t="s">
        <v>296</v>
      </c>
      <c r="F889" s="55" t="s">
        <v>297</v>
      </c>
      <c r="G889" s="56"/>
      <c r="H889" s="99" t="n">
        <v>0.05</v>
      </c>
      <c r="I889" s="28" t="n">
        <v>2.64</v>
      </c>
      <c r="J889" s="28" t="n">
        <f aca="false">H889*I889</f>
        <v>0.132</v>
      </c>
    </row>
    <row r="890" customFormat="false" ht="15" hidden="false" customHeight="false" outlineLevel="0" collapsed="false">
      <c r="B890" s="1" t="s">
        <v>681</v>
      </c>
      <c r="F890" s="55" t="s">
        <v>297</v>
      </c>
      <c r="G890" s="56"/>
      <c r="H890" s="99" t="n">
        <v>1.05</v>
      </c>
      <c r="I890" s="28" t="n">
        <f aca="false">1012.71*3.379/1000</f>
        <v>3.42194709</v>
      </c>
      <c r="J890" s="28" t="n">
        <f aca="false">H890*I890</f>
        <v>3.5930444445</v>
      </c>
    </row>
    <row r="891" customFormat="false" ht="15" hidden="false" customHeight="false" outlineLevel="0" collapsed="false">
      <c r="B891" s="1" t="s">
        <v>719</v>
      </c>
      <c r="F891" s="55" t="s">
        <v>297</v>
      </c>
      <c r="G891" s="56"/>
      <c r="H891" s="99" t="n">
        <v>0.001</v>
      </c>
      <c r="I891" s="46" t="n">
        <v>13.81</v>
      </c>
      <c r="J891" s="28" t="n">
        <f aca="false">H891*I891</f>
        <v>0.01381</v>
      </c>
    </row>
    <row r="892" customFormat="false" ht="15" hidden="false" customHeight="false" outlineLevel="0" collapsed="false">
      <c r="F892" s="55"/>
      <c r="G892" s="56"/>
      <c r="J892" s="86" t="n">
        <f aca="false">SUM(J889:J891)</f>
        <v>3.7388544445</v>
      </c>
    </row>
    <row r="893" customFormat="false" ht="15" hidden="false" customHeight="false" outlineLevel="0" collapsed="false">
      <c r="B893" s="87" t="s">
        <v>318</v>
      </c>
      <c r="F893" s="55"/>
      <c r="G893" s="56"/>
    </row>
    <row r="894" customFormat="false" ht="15" hidden="false" customHeight="false" outlineLevel="0" collapsed="false">
      <c r="B894" s="1" t="s">
        <v>311</v>
      </c>
      <c r="F894" s="55" t="s">
        <v>312</v>
      </c>
      <c r="H894" s="57" t="n">
        <v>3</v>
      </c>
      <c r="I894" s="28" t="n">
        <f aca="false">J887</f>
        <v>1.68128</v>
      </c>
      <c r="J894" s="28" t="n">
        <f aca="false">H894%*I894</f>
        <v>0.0504384</v>
      </c>
    </row>
    <row r="895" customFormat="false" ht="15" hidden="false" customHeight="false" outlineLevel="0" collapsed="false">
      <c r="B895" s="1" t="s">
        <v>720</v>
      </c>
      <c r="C895" s="1" t="s">
        <v>721</v>
      </c>
      <c r="F895" s="55" t="s">
        <v>292</v>
      </c>
      <c r="G895" s="56" t="n">
        <v>0.5</v>
      </c>
      <c r="H895" s="99" t="n">
        <f aca="false">G895*8/$D$882</f>
        <v>0.016</v>
      </c>
      <c r="I895" s="46" t="n">
        <v>1.81</v>
      </c>
      <c r="J895" s="28" t="n">
        <f aca="false">H895*I895</f>
        <v>0.02896</v>
      </c>
    </row>
    <row r="896" customFormat="false" ht="15" hidden="false" customHeight="false" outlineLevel="0" collapsed="false">
      <c r="A896" s="60"/>
      <c r="B896" s="60"/>
      <c r="C896" s="60"/>
      <c r="D896" s="60"/>
      <c r="E896" s="60"/>
      <c r="F896" s="60"/>
      <c r="G896" s="60"/>
      <c r="H896" s="60"/>
      <c r="I896" s="60"/>
      <c r="J896" s="89" t="n">
        <f aca="false">SUM(J894:J895)</f>
        <v>0.0793984</v>
      </c>
    </row>
    <row r="898" customFormat="false" ht="15" hidden="false" customHeight="false" outlineLevel="0" collapsed="false">
      <c r="A898" s="14" t="s">
        <v>278</v>
      </c>
      <c r="B898" s="14" t="str">
        <f aca="false">ESTRUCTURA!A73</f>
        <v>02.04.01.01</v>
      </c>
      <c r="C898" s="14" t="s">
        <v>594</v>
      </c>
      <c r="D898" s="14"/>
      <c r="E898" s="14"/>
      <c r="F898" s="14"/>
      <c r="G898" s="14"/>
      <c r="H898" s="14"/>
      <c r="I898" s="14"/>
    </row>
    <row r="899" customFormat="false" ht="15" hidden="false" customHeight="false" outlineLevel="0" collapsed="false">
      <c r="A899" s="14" t="s">
        <v>279</v>
      </c>
      <c r="B899" s="14" t="s">
        <v>417</v>
      </c>
      <c r="C899" s="36" t="s">
        <v>281</v>
      </c>
      <c r="D899" s="52" t="n">
        <v>30</v>
      </c>
      <c r="E899" s="36" t="s">
        <v>282</v>
      </c>
      <c r="F899" s="52" t="n">
        <f aca="false">D899</f>
        <v>30</v>
      </c>
      <c r="G899" s="14" t="s">
        <v>283</v>
      </c>
      <c r="I899" s="36" t="s">
        <v>204</v>
      </c>
      <c r="J899" s="53" t="n">
        <f aca="false">J906+J911+J915</f>
        <v>445.669224</v>
      </c>
    </row>
    <row r="900" customFormat="false" ht="15" hidden="false" customHeight="false" outlineLevel="0" collapsed="false">
      <c r="A900" s="14" t="s">
        <v>284</v>
      </c>
      <c r="B900" s="14" t="s">
        <v>285</v>
      </c>
      <c r="F900" s="36" t="s">
        <v>123</v>
      </c>
      <c r="G900" s="36" t="s">
        <v>286</v>
      </c>
      <c r="H900" s="36" t="s">
        <v>287</v>
      </c>
      <c r="I900" s="36" t="s">
        <v>288</v>
      </c>
      <c r="J900" s="36" t="s">
        <v>289</v>
      </c>
    </row>
    <row r="901" customFormat="false" ht="15" hidden="false" customHeight="false" outlineLevel="0" collapsed="false">
      <c r="B901" s="54" t="s">
        <v>290</v>
      </c>
    </row>
    <row r="902" customFormat="false" ht="15" hidden="false" customHeight="false" outlineLevel="0" collapsed="false">
      <c r="B902" s="1" t="s">
        <v>651</v>
      </c>
      <c r="F902" s="55" t="s">
        <v>292</v>
      </c>
      <c r="G902" s="56" t="n">
        <v>0.1</v>
      </c>
      <c r="H902" s="57" t="n">
        <f aca="false">G902*8/$D$899</f>
        <v>0.0266666666666667</v>
      </c>
      <c r="I902" s="28" t="n">
        <v>34.73</v>
      </c>
      <c r="J902" s="28" t="n">
        <f aca="false">H902*I902</f>
        <v>0.926133333333333</v>
      </c>
    </row>
    <row r="903" customFormat="false" ht="15" hidden="false" customHeight="false" outlineLevel="0" collapsed="false">
      <c r="B903" s="1" t="s">
        <v>291</v>
      </c>
      <c r="F903" s="55" t="s">
        <v>292</v>
      </c>
      <c r="G903" s="56" t="n">
        <v>2</v>
      </c>
      <c r="H903" s="57" t="n">
        <f aca="false">G903*8/$D$899</f>
        <v>0.533333333333333</v>
      </c>
      <c r="I903" s="28" t="n">
        <v>28.94</v>
      </c>
      <c r="J903" s="28" t="n">
        <f aca="false">H903*I903</f>
        <v>15.4346666666667</v>
      </c>
    </row>
    <row r="904" customFormat="false" ht="15" hidden="false" customHeight="false" outlineLevel="0" collapsed="false">
      <c r="B904" s="1" t="s">
        <v>293</v>
      </c>
      <c r="F904" s="55" t="s">
        <v>292</v>
      </c>
      <c r="G904" s="56" t="n">
        <v>1</v>
      </c>
      <c r="H904" s="57" t="n">
        <f aca="false">G904*8/$D$899</f>
        <v>0.266666666666667</v>
      </c>
      <c r="I904" s="28" t="n">
        <v>22.66</v>
      </c>
      <c r="J904" s="28" t="n">
        <f aca="false">H904*I904</f>
        <v>6.04266666666667</v>
      </c>
    </row>
    <row r="905" customFormat="false" ht="15" hidden="false" customHeight="false" outlineLevel="0" collapsed="false">
      <c r="B905" s="1" t="s">
        <v>294</v>
      </c>
      <c r="F905" s="55" t="s">
        <v>292</v>
      </c>
      <c r="G905" s="56" t="n">
        <v>4</v>
      </c>
      <c r="H905" s="57" t="n">
        <f aca="false">G905*8/$D$899</f>
        <v>1.06666666666667</v>
      </c>
      <c r="I905" s="28" t="n">
        <v>20.51</v>
      </c>
      <c r="J905" s="28" t="n">
        <f aca="false">H905*I905</f>
        <v>21.8773333333333</v>
      </c>
    </row>
    <row r="906" customFormat="false" ht="15" hidden="false" customHeight="false" outlineLevel="0" collapsed="false">
      <c r="J906" s="53" t="n">
        <f aca="false">SUM(J902:J905)</f>
        <v>44.2808</v>
      </c>
    </row>
    <row r="907" customFormat="false" ht="15" hidden="false" customHeight="false" outlineLevel="0" collapsed="false">
      <c r="B907" s="54" t="s">
        <v>295</v>
      </c>
    </row>
    <row r="908" customFormat="false" ht="15" hidden="false" customHeight="false" outlineLevel="0" collapsed="false">
      <c r="B908" s="1" t="s">
        <v>722</v>
      </c>
      <c r="E908" s="1" t="s">
        <v>297</v>
      </c>
      <c r="H908" s="57" t="n">
        <v>0.1</v>
      </c>
      <c r="I908" s="28" t="n">
        <v>24.52</v>
      </c>
      <c r="J908" s="28" t="n">
        <f aca="false">H908*I908</f>
        <v>2.452</v>
      </c>
    </row>
    <row r="909" customFormat="false" ht="15" hidden="false" customHeight="false" outlineLevel="0" collapsed="false">
      <c r="B909" s="1" t="s">
        <v>723</v>
      </c>
      <c r="E909" s="1" t="s">
        <v>297</v>
      </c>
      <c r="H909" s="57" t="n">
        <v>1.02</v>
      </c>
      <c r="I909" s="28" t="n">
        <v>358</v>
      </c>
      <c r="J909" s="28" t="n">
        <f aca="false">H909*I909</f>
        <v>365.16</v>
      </c>
    </row>
    <row r="910" customFormat="false" ht="15" hidden="false" customHeight="false" outlineLevel="0" collapsed="false">
      <c r="B910" s="1" t="s">
        <v>724</v>
      </c>
      <c r="E910" s="1" t="s">
        <v>306</v>
      </c>
      <c r="H910" s="57" t="n">
        <v>1.02</v>
      </c>
      <c r="I910" s="28" t="n">
        <v>30</v>
      </c>
      <c r="J910" s="28" t="n">
        <f aca="false">H910*I910</f>
        <v>30.6</v>
      </c>
    </row>
    <row r="911" customFormat="false" ht="15" hidden="false" customHeight="false" outlineLevel="0" collapsed="false">
      <c r="J911" s="53" t="n">
        <f aca="false">SUM(J908:J910)</f>
        <v>398.212</v>
      </c>
    </row>
    <row r="912" customFormat="false" ht="15" hidden="false" customHeight="false" outlineLevel="0" collapsed="false">
      <c r="B912" s="54" t="s">
        <v>318</v>
      </c>
    </row>
    <row r="913" customFormat="false" ht="15" hidden="false" customHeight="false" outlineLevel="0" collapsed="false">
      <c r="B913" s="1" t="s">
        <v>311</v>
      </c>
      <c r="F913" s="55" t="s">
        <v>312</v>
      </c>
      <c r="H913" s="57" t="n">
        <v>3</v>
      </c>
      <c r="I913" s="28" t="n">
        <f aca="false">J906</f>
        <v>44.2808</v>
      </c>
      <c r="J913" s="28" t="n">
        <f aca="false">H913%*I913</f>
        <v>1.328424</v>
      </c>
    </row>
    <row r="914" customFormat="false" ht="15" hidden="false" customHeight="false" outlineLevel="0" collapsed="false">
      <c r="B914" s="1" t="s">
        <v>725</v>
      </c>
      <c r="F914" s="55" t="s">
        <v>338</v>
      </c>
      <c r="G914" s="56" t="n">
        <v>1</v>
      </c>
      <c r="H914" s="57" t="n">
        <f aca="false">G914*8/$D$899</f>
        <v>0.266666666666667</v>
      </c>
      <c r="I914" s="28" t="n">
        <v>6.93</v>
      </c>
      <c r="J914" s="28" t="n">
        <f aca="false">H914*I914</f>
        <v>1.848</v>
      </c>
    </row>
    <row r="915" customFormat="false" ht="15" hidden="false" customHeight="false" outlineLevel="0" collapsed="false">
      <c r="A915" s="60"/>
      <c r="B915" s="60"/>
      <c r="C915" s="60"/>
      <c r="D915" s="60"/>
      <c r="E915" s="60"/>
      <c r="F915" s="60"/>
      <c r="G915" s="60"/>
      <c r="H915" s="60"/>
      <c r="I915" s="60"/>
      <c r="J915" s="61" t="n">
        <f aca="false">SUM(J913:J914)</f>
        <v>3.176424</v>
      </c>
    </row>
    <row r="917" customFormat="false" ht="15" hidden="false" customHeight="false" outlineLevel="0" collapsed="false">
      <c r="A917" s="14" t="s">
        <v>278</v>
      </c>
      <c r="B917" s="14" t="str">
        <f aca="false">ESTRUCTURA!A74</f>
        <v>02.04.01.02</v>
      </c>
      <c r="C917" s="14" t="s">
        <v>596</v>
      </c>
      <c r="D917" s="14"/>
      <c r="E917" s="14"/>
      <c r="F917" s="14"/>
      <c r="G917" s="14"/>
      <c r="H917" s="14"/>
      <c r="I917" s="14"/>
    </row>
    <row r="918" customFormat="false" ht="15" hidden="false" customHeight="false" outlineLevel="0" collapsed="false">
      <c r="A918" s="14" t="s">
        <v>279</v>
      </c>
      <c r="B918" s="14" t="s">
        <v>417</v>
      </c>
      <c r="C918" s="36" t="s">
        <v>281</v>
      </c>
      <c r="D918" s="52" t="n">
        <v>30</v>
      </c>
      <c r="E918" s="36" t="s">
        <v>282</v>
      </c>
      <c r="F918" s="52" t="n">
        <f aca="false">D918</f>
        <v>30</v>
      </c>
      <c r="G918" s="14" t="s">
        <v>283</v>
      </c>
      <c r="I918" s="36" t="s">
        <v>204</v>
      </c>
      <c r="J918" s="53" t="n">
        <f aca="false">J925+J930+J934</f>
        <v>445.669224</v>
      </c>
    </row>
    <row r="919" customFormat="false" ht="15" hidden="false" customHeight="false" outlineLevel="0" collapsed="false">
      <c r="A919" s="14" t="s">
        <v>284</v>
      </c>
      <c r="B919" s="14" t="s">
        <v>285</v>
      </c>
      <c r="F919" s="36" t="s">
        <v>123</v>
      </c>
      <c r="G919" s="36" t="s">
        <v>286</v>
      </c>
      <c r="H919" s="36" t="s">
        <v>287</v>
      </c>
      <c r="I919" s="36" t="s">
        <v>288</v>
      </c>
      <c r="J919" s="36" t="s">
        <v>289</v>
      </c>
    </row>
    <row r="920" customFormat="false" ht="15" hidden="false" customHeight="false" outlineLevel="0" collapsed="false">
      <c r="B920" s="54" t="s">
        <v>290</v>
      </c>
    </row>
    <row r="921" customFormat="false" ht="15" hidden="false" customHeight="false" outlineLevel="0" collapsed="false">
      <c r="B921" s="1" t="s">
        <v>651</v>
      </c>
      <c r="F921" s="55" t="s">
        <v>292</v>
      </c>
      <c r="G921" s="56" t="n">
        <v>0.1</v>
      </c>
      <c r="H921" s="57" t="n">
        <f aca="false">G921*8/$D$918</f>
        <v>0.0266666666666667</v>
      </c>
      <c r="I921" s="28" t="n">
        <v>34.73</v>
      </c>
      <c r="J921" s="28" t="n">
        <f aca="false">H921*I921</f>
        <v>0.926133333333333</v>
      </c>
    </row>
    <row r="922" customFormat="false" ht="15" hidden="false" customHeight="false" outlineLevel="0" collapsed="false">
      <c r="B922" s="1" t="s">
        <v>291</v>
      </c>
      <c r="F922" s="55" t="s">
        <v>292</v>
      </c>
      <c r="G922" s="56" t="n">
        <v>2</v>
      </c>
      <c r="H922" s="57" t="n">
        <f aca="false">G922*8/$D$918</f>
        <v>0.533333333333333</v>
      </c>
      <c r="I922" s="28" t="n">
        <v>28.94</v>
      </c>
      <c r="J922" s="28" t="n">
        <f aca="false">H922*I922</f>
        <v>15.4346666666667</v>
      </c>
    </row>
    <row r="923" customFormat="false" ht="15" hidden="false" customHeight="false" outlineLevel="0" collapsed="false">
      <c r="B923" s="1" t="s">
        <v>293</v>
      </c>
      <c r="F923" s="55" t="s">
        <v>292</v>
      </c>
      <c r="G923" s="56" t="n">
        <v>1</v>
      </c>
      <c r="H923" s="57" t="n">
        <f aca="false">G923*8/$D$918</f>
        <v>0.266666666666667</v>
      </c>
      <c r="I923" s="28" t="n">
        <v>22.66</v>
      </c>
      <c r="J923" s="28" t="n">
        <f aca="false">H923*I923</f>
        <v>6.04266666666667</v>
      </c>
    </row>
    <row r="924" customFormat="false" ht="15" hidden="false" customHeight="false" outlineLevel="0" collapsed="false">
      <c r="B924" s="1" t="s">
        <v>294</v>
      </c>
      <c r="F924" s="55" t="s">
        <v>292</v>
      </c>
      <c r="G924" s="56" t="n">
        <v>4</v>
      </c>
      <c r="H924" s="57" t="n">
        <f aca="false">G924*8/$D$918</f>
        <v>1.06666666666667</v>
      </c>
      <c r="I924" s="28" t="n">
        <v>20.51</v>
      </c>
      <c r="J924" s="28" t="n">
        <f aca="false">H924*I924</f>
        <v>21.8773333333333</v>
      </c>
    </row>
    <row r="925" customFormat="false" ht="15" hidden="false" customHeight="false" outlineLevel="0" collapsed="false">
      <c r="J925" s="53" t="n">
        <f aca="false">SUM(J921:J924)</f>
        <v>44.2808</v>
      </c>
    </row>
    <row r="926" customFormat="false" ht="15" hidden="false" customHeight="false" outlineLevel="0" collapsed="false">
      <c r="B926" s="54" t="s">
        <v>295</v>
      </c>
    </row>
    <row r="927" customFormat="false" ht="15" hidden="false" customHeight="false" outlineLevel="0" collapsed="false">
      <c r="B927" s="1" t="s">
        <v>722</v>
      </c>
      <c r="E927" s="1" t="s">
        <v>297</v>
      </c>
      <c r="H927" s="57" t="n">
        <v>0.1</v>
      </c>
      <c r="I927" s="28" t="n">
        <v>24.52</v>
      </c>
      <c r="J927" s="28" t="n">
        <f aca="false">H927*I927</f>
        <v>2.452</v>
      </c>
    </row>
    <row r="928" customFormat="false" ht="15" hidden="false" customHeight="false" outlineLevel="0" collapsed="false">
      <c r="B928" s="1" t="s">
        <v>723</v>
      </c>
      <c r="E928" s="1" t="s">
        <v>297</v>
      </c>
      <c r="H928" s="57" t="n">
        <v>1.02</v>
      </c>
      <c r="I928" s="1" t="n">
        <v>358</v>
      </c>
      <c r="J928" s="28" t="n">
        <f aca="false">H928*I928</f>
        <v>365.16</v>
      </c>
    </row>
    <row r="929" customFormat="false" ht="15" hidden="false" customHeight="false" outlineLevel="0" collapsed="false">
      <c r="B929" s="1" t="s">
        <v>724</v>
      </c>
      <c r="E929" s="1" t="s">
        <v>306</v>
      </c>
      <c r="H929" s="57" t="n">
        <v>1.02</v>
      </c>
      <c r="I929" s="28" t="n">
        <v>30</v>
      </c>
      <c r="J929" s="28" t="n">
        <f aca="false">H929*I929</f>
        <v>30.6</v>
      </c>
    </row>
    <row r="930" customFormat="false" ht="15" hidden="false" customHeight="false" outlineLevel="0" collapsed="false">
      <c r="J930" s="53" t="n">
        <f aca="false">SUM(J927:J929)</f>
        <v>398.212</v>
      </c>
    </row>
    <row r="931" customFormat="false" ht="15" hidden="false" customHeight="false" outlineLevel="0" collapsed="false">
      <c r="B931" s="54" t="s">
        <v>318</v>
      </c>
    </row>
    <row r="932" customFormat="false" ht="15" hidden="false" customHeight="false" outlineLevel="0" collapsed="false">
      <c r="B932" s="1" t="s">
        <v>311</v>
      </c>
      <c r="F932" s="55" t="s">
        <v>312</v>
      </c>
      <c r="H932" s="57" t="n">
        <v>3</v>
      </c>
      <c r="I932" s="28" t="n">
        <f aca="false">J925</f>
        <v>44.2808</v>
      </c>
      <c r="J932" s="28" t="n">
        <f aca="false">H932%*I932</f>
        <v>1.328424</v>
      </c>
    </row>
    <row r="933" customFormat="false" ht="15" hidden="false" customHeight="false" outlineLevel="0" collapsed="false">
      <c r="B933" s="1" t="s">
        <v>725</v>
      </c>
      <c r="F933" s="55" t="s">
        <v>338</v>
      </c>
      <c r="G933" s="56" t="n">
        <v>1</v>
      </c>
      <c r="H933" s="57" t="n">
        <f aca="false">G933*8/$D$918</f>
        <v>0.266666666666667</v>
      </c>
      <c r="I933" s="28" t="n">
        <v>6.93</v>
      </c>
      <c r="J933" s="28" t="n">
        <f aca="false">H933*I933</f>
        <v>1.848</v>
      </c>
    </row>
    <row r="934" customFormat="false" ht="15" hidden="false" customHeight="false" outlineLevel="0" collapsed="false">
      <c r="A934" s="60"/>
      <c r="B934" s="60"/>
      <c r="C934" s="60"/>
      <c r="D934" s="60"/>
      <c r="E934" s="60"/>
      <c r="F934" s="60"/>
      <c r="G934" s="60"/>
      <c r="H934" s="60"/>
      <c r="I934" s="60"/>
      <c r="J934" s="61" t="n">
        <f aca="false">SUM(J932:J933)</f>
        <v>3.176424</v>
      </c>
    </row>
    <row r="936" customFormat="false" ht="15" hidden="false" customHeight="false" outlineLevel="0" collapsed="false">
      <c r="A936" s="14" t="s">
        <v>278</v>
      </c>
      <c r="B936" s="14" t="str">
        <f aca="false">ESTRUCTURA!A75</f>
        <v>02.04.01.03</v>
      </c>
      <c r="C936" s="14" t="s">
        <v>598</v>
      </c>
      <c r="D936" s="14"/>
      <c r="E936" s="14"/>
      <c r="F936" s="14"/>
      <c r="G936" s="14"/>
      <c r="H936" s="14"/>
      <c r="I936" s="14"/>
    </row>
    <row r="937" customFormat="false" ht="15" hidden="false" customHeight="false" outlineLevel="0" collapsed="false">
      <c r="A937" s="14" t="s">
        <v>279</v>
      </c>
      <c r="B937" s="14" t="s">
        <v>280</v>
      </c>
      <c r="C937" s="36" t="s">
        <v>281</v>
      </c>
      <c r="D937" s="52" t="n">
        <v>25</v>
      </c>
      <c r="E937" s="36" t="s">
        <v>282</v>
      </c>
      <c r="F937" s="52" t="n">
        <f aca="false">D937</f>
        <v>25</v>
      </c>
      <c r="G937" s="14" t="s">
        <v>283</v>
      </c>
      <c r="I937" s="36" t="s">
        <v>134</v>
      </c>
      <c r="J937" s="53" t="n">
        <f aca="false">J944+J949+J953</f>
        <v>118.0135648</v>
      </c>
    </row>
    <row r="938" customFormat="false" ht="15" hidden="false" customHeight="false" outlineLevel="0" collapsed="false">
      <c r="A938" s="14" t="s">
        <v>284</v>
      </c>
      <c r="B938" s="14" t="s">
        <v>285</v>
      </c>
      <c r="F938" s="36" t="s">
        <v>123</v>
      </c>
      <c r="G938" s="36" t="s">
        <v>286</v>
      </c>
      <c r="H938" s="36" t="s">
        <v>287</v>
      </c>
      <c r="I938" s="36" t="s">
        <v>288</v>
      </c>
      <c r="J938" s="36" t="s">
        <v>289</v>
      </c>
    </row>
    <row r="939" customFormat="false" ht="15" hidden="false" customHeight="false" outlineLevel="0" collapsed="false">
      <c r="B939" s="54" t="s">
        <v>290</v>
      </c>
    </row>
    <row r="940" customFormat="false" ht="15" hidden="false" customHeight="false" outlineLevel="0" collapsed="false">
      <c r="B940" s="1" t="s">
        <v>651</v>
      </c>
      <c r="F940" s="55" t="s">
        <v>292</v>
      </c>
      <c r="G940" s="56" t="n">
        <v>0.1</v>
      </c>
      <c r="H940" s="57" t="n">
        <f aca="false">G940*8/$D$937</f>
        <v>0.032</v>
      </c>
      <c r="I940" s="28" t="n">
        <v>34.73</v>
      </c>
      <c r="J940" s="28" t="n">
        <f aca="false">H940*I940</f>
        <v>1.11136</v>
      </c>
    </row>
    <row r="941" customFormat="false" ht="15" hidden="false" customHeight="false" outlineLevel="0" collapsed="false">
      <c r="B941" s="1" t="s">
        <v>291</v>
      </c>
      <c r="F941" s="55" t="s">
        <v>292</v>
      </c>
      <c r="G941" s="56" t="n">
        <v>1</v>
      </c>
      <c r="H941" s="57" t="n">
        <f aca="false">G941*8/$D$937</f>
        <v>0.32</v>
      </c>
      <c r="I941" s="28" t="n">
        <v>28.94</v>
      </c>
      <c r="J941" s="28" t="n">
        <f aca="false">H941*I941</f>
        <v>9.2608</v>
      </c>
    </row>
    <row r="942" customFormat="false" ht="15" hidden="false" customHeight="false" outlineLevel="0" collapsed="false">
      <c r="B942" s="1" t="s">
        <v>293</v>
      </c>
      <c r="F942" s="55" t="s">
        <v>292</v>
      </c>
      <c r="G942" s="56" t="n">
        <v>2</v>
      </c>
      <c r="H942" s="57" t="n">
        <f aca="false">G942*8/$D$937</f>
        <v>0.64</v>
      </c>
      <c r="I942" s="28" t="n">
        <v>22.66</v>
      </c>
      <c r="J942" s="28" t="n">
        <f aca="false">H942*I942</f>
        <v>14.5024</v>
      </c>
    </row>
    <row r="943" customFormat="false" ht="15" hidden="false" customHeight="false" outlineLevel="0" collapsed="false">
      <c r="B943" s="1" t="s">
        <v>294</v>
      </c>
      <c r="F943" s="55" t="s">
        <v>292</v>
      </c>
      <c r="G943" s="56" t="n">
        <v>8</v>
      </c>
      <c r="H943" s="57" t="n">
        <f aca="false">G943*8/$D$937</f>
        <v>2.56</v>
      </c>
      <c r="I943" s="28" t="n">
        <v>20.51</v>
      </c>
      <c r="J943" s="28" t="n">
        <f aca="false">H943*I943</f>
        <v>52.5056</v>
      </c>
    </row>
    <row r="944" customFormat="false" ht="15" hidden="false" customHeight="false" outlineLevel="0" collapsed="false">
      <c r="J944" s="53" t="n">
        <f aca="false">SUM(J940:J943)</f>
        <v>77.38016</v>
      </c>
    </row>
    <row r="945" customFormat="false" ht="15" hidden="false" customHeight="false" outlineLevel="0" collapsed="false">
      <c r="B945" s="54" t="s">
        <v>295</v>
      </c>
    </row>
    <row r="946" customFormat="false" ht="15" hidden="false" customHeight="false" outlineLevel="0" collapsed="false">
      <c r="B946" s="1" t="s">
        <v>726</v>
      </c>
      <c r="E946" s="1" t="s">
        <v>297</v>
      </c>
      <c r="H946" s="57" t="n">
        <v>0.1</v>
      </c>
      <c r="I946" s="28" t="n">
        <v>4.64</v>
      </c>
      <c r="J946" s="28" t="n">
        <f aca="false">H946*I946</f>
        <v>0.464</v>
      </c>
    </row>
    <row r="947" customFormat="false" ht="15" hidden="false" customHeight="false" outlineLevel="0" collapsed="false">
      <c r="B947" s="1" t="s">
        <v>727</v>
      </c>
      <c r="E947" s="1" t="s">
        <v>297</v>
      </c>
      <c r="H947" s="57" t="n">
        <v>0.15</v>
      </c>
      <c r="I947" s="1" t="n">
        <v>4.16</v>
      </c>
      <c r="J947" s="28" t="n">
        <f aca="false">H947*I947</f>
        <v>0.624</v>
      </c>
    </row>
    <row r="948" customFormat="false" ht="15" hidden="false" customHeight="false" outlineLevel="0" collapsed="false">
      <c r="B948" s="1" t="s">
        <v>309</v>
      </c>
      <c r="E948" s="1" t="s">
        <v>306</v>
      </c>
      <c r="H948" s="57" t="n">
        <v>4.03</v>
      </c>
      <c r="I948" s="28" t="n">
        <v>8.8</v>
      </c>
      <c r="J948" s="28" t="n">
        <f aca="false">H948*I948</f>
        <v>35.464</v>
      </c>
    </row>
    <row r="949" customFormat="false" ht="15" hidden="false" customHeight="false" outlineLevel="0" collapsed="false">
      <c r="J949" s="53" t="n">
        <f aca="false">SUM(J946:J948)</f>
        <v>36.552</v>
      </c>
    </row>
    <row r="950" customFormat="false" ht="15" hidden="false" customHeight="false" outlineLevel="0" collapsed="false">
      <c r="B950" s="54" t="s">
        <v>318</v>
      </c>
    </row>
    <row r="951" customFormat="false" ht="15" hidden="false" customHeight="false" outlineLevel="0" collapsed="false">
      <c r="B951" s="1" t="s">
        <v>311</v>
      </c>
      <c r="F951" s="55" t="s">
        <v>312</v>
      </c>
      <c r="H951" s="57" t="n">
        <v>3</v>
      </c>
      <c r="I951" s="28" t="n">
        <f aca="false">J944</f>
        <v>77.38016</v>
      </c>
      <c r="J951" s="28" t="n">
        <f aca="false">H951%*I951</f>
        <v>2.3214048</v>
      </c>
    </row>
    <row r="952" customFormat="false" ht="15" hidden="false" customHeight="false" outlineLevel="0" collapsed="false">
      <c r="B952" s="1" t="s">
        <v>728</v>
      </c>
      <c r="F952" s="55" t="s">
        <v>338</v>
      </c>
      <c r="G952" s="56" t="n">
        <v>1</v>
      </c>
      <c r="H952" s="57" t="n">
        <f aca="false">G952*8/$D$937</f>
        <v>0.32</v>
      </c>
      <c r="I952" s="28" t="n">
        <v>5.5</v>
      </c>
      <c r="J952" s="28" t="n">
        <f aca="false">H952*I952</f>
        <v>1.76</v>
      </c>
    </row>
    <row r="953" customFormat="false" ht="15" hidden="false" customHeight="false" outlineLevel="0" collapsed="false">
      <c r="A953" s="60"/>
      <c r="B953" s="60"/>
      <c r="C953" s="60"/>
      <c r="D953" s="60"/>
      <c r="E953" s="60"/>
      <c r="F953" s="60"/>
      <c r="G953" s="60"/>
      <c r="H953" s="60"/>
      <c r="I953" s="60"/>
      <c r="J953" s="61" t="n">
        <f aca="false">SUM(J951:J952)</f>
        <v>4.0814048</v>
      </c>
    </row>
    <row r="955" customFormat="false" ht="15" hidden="false" customHeight="false" outlineLevel="0" collapsed="false">
      <c r="A955" s="14" t="s">
        <v>278</v>
      </c>
      <c r="B955" s="14" t="str">
        <f aca="false">ESTRUCTURA!A76</f>
        <v>02.04.01.04</v>
      </c>
      <c r="C955" s="14" t="s">
        <v>600</v>
      </c>
      <c r="D955" s="14"/>
    </row>
    <row r="956" customFormat="false" ht="15" hidden="false" customHeight="false" outlineLevel="0" collapsed="false">
      <c r="A956" s="14" t="s">
        <v>279</v>
      </c>
      <c r="B956" s="14" t="s">
        <v>417</v>
      </c>
      <c r="C956" s="36" t="s">
        <v>281</v>
      </c>
      <c r="D956" s="52" t="n">
        <v>1</v>
      </c>
      <c r="E956" s="36" t="s">
        <v>282</v>
      </c>
      <c r="F956" s="52" t="n">
        <f aca="false">D956</f>
        <v>1</v>
      </c>
      <c r="G956" s="14" t="s">
        <v>283</v>
      </c>
      <c r="I956" s="36" t="s">
        <v>204</v>
      </c>
      <c r="J956" s="53" t="n">
        <f aca="false">J960</f>
        <v>358</v>
      </c>
    </row>
    <row r="957" customFormat="false" ht="15" hidden="false" customHeight="false" outlineLevel="0" collapsed="false">
      <c r="A957" s="14" t="s">
        <v>284</v>
      </c>
      <c r="B957" s="14" t="s">
        <v>285</v>
      </c>
      <c r="F957" s="36" t="s">
        <v>123</v>
      </c>
      <c r="G957" s="36" t="s">
        <v>286</v>
      </c>
      <c r="H957" s="36" t="s">
        <v>287</v>
      </c>
      <c r="I957" s="36" t="s">
        <v>288</v>
      </c>
      <c r="J957" s="36" t="s">
        <v>289</v>
      </c>
    </row>
    <row r="958" customFormat="false" ht="15" hidden="false" customHeight="false" outlineLevel="0" collapsed="false">
      <c r="B958" s="54" t="s">
        <v>290</v>
      </c>
    </row>
    <row r="959" customFormat="false" ht="15" hidden="false" customHeight="false" outlineLevel="0" collapsed="false">
      <c r="B959" s="1" t="s">
        <v>600</v>
      </c>
      <c r="H959" s="57" t="n">
        <v>1</v>
      </c>
      <c r="I959" s="28" t="n">
        <v>358</v>
      </c>
      <c r="J959" s="28" t="n">
        <f aca="false">H959*I959</f>
        <v>358</v>
      </c>
    </row>
    <row r="960" customFormat="false" ht="15" hidden="false" customHeight="false" outlineLevel="0" collapsed="false">
      <c r="A960" s="60"/>
      <c r="B960" s="60"/>
      <c r="C960" s="60"/>
      <c r="D960" s="60"/>
      <c r="E960" s="60"/>
      <c r="F960" s="62"/>
      <c r="G960" s="60"/>
      <c r="H960" s="64"/>
      <c r="I960" s="65"/>
      <c r="J960" s="61" t="n">
        <f aca="false">SUM(J959)</f>
        <v>358</v>
      </c>
    </row>
    <row r="962" customFormat="false" ht="15" hidden="false" customHeight="false" outlineLevel="0" collapsed="false">
      <c r="A962" s="14" t="s">
        <v>278</v>
      </c>
      <c r="B962" s="14" t="str">
        <f aca="false">ESTRUCTURA!A77</f>
        <v>02.04.01.05</v>
      </c>
      <c r="C962" s="14" t="s">
        <v>602</v>
      </c>
      <c r="D962" s="14"/>
      <c r="E962" s="14"/>
      <c r="F962" s="14"/>
      <c r="G962" s="14"/>
      <c r="H962" s="14"/>
      <c r="I962" s="14"/>
    </row>
    <row r="963" customFormat="false" ht="15" hidden="false" customHeight="false" outlineLevel="0" collapsed="false">
      <c r="A963" s="14" t="s">
        <v>279</v>
      </c>
      <c r="B963" s="14" t="s">
        <v>280</v>
      </c>
      <c r="C963" s="36" t="s">
        <v>281</v>
      </c>
      <c r="D963" s="52" t="n">
        <v>250</v>
      </c>
      <c r="E963" s="36" t="s">
        <v>282</v>
      </c>
      <c r="F963" s="52" t="n">
        <f aca="false">D963</f>
        <v>250</v>
      </c>
      <c r="G963" s="14" t="s">
        <v>283</v>
      </c>
      <c r="I963" s="36" t="s">
        <v>134</v>
      </c>
      <c r="J963" s="53" t="n">
        <f aca="false">J967+J970+J973</f>
        <v>2.9418736</v>
      </c>
    </row>
    <row r="964" customFormat="false" ht="15" hidden="false" customHeight="false" outlineLevel="0" collapsed="false">
      <c r="A964" s="14" t="s">
        <v>284</v>
      </c>
      <c r="B964" s="14" t="s">
        <v>285</v>
      </c>
      <c r="F964" s="36" t="s">
        <v>123</v>
      </c>
      <c r="G964" s="36" t="s">
        <v>286</v>
      </c>
      <c r="H964" s="36" t="s">
        <v>287</v>
      </c>
      <c r="I964" s="36" t="s">
        <v>288</v>
      </c>
      <c r="J964" s="36" t="s">
        <v>289</v>
      </c>
    </row>
    <row r="965" customFormat="false" ht="15" hidden="false" customHeight="false" outlineLevel="0" collapsed="false">
      <c r="B965" s="54" t="s">
        <v>290</v>
      </c>
    </row>
    <row r="966" customFormat="false" ht="15" hidden="false" customHeight="false" outlineLevel="0" collapsed="false">
      <c r="B966" s="1" t="s">
        <v>293</v>
      </c>
      <c r="F966" s="55" t="s">
        <v>292</v>
      </c>
      <c r="G966" s="56" t="n">
        <v>1</v>
      </c>
      <c r="H966" s="57" t="n">
        <f aca="false">G966*8/$D$963</f>
        <v>0.032</v>
      </c>
      <c r="I966" s="28" t="n">
        <v>22.66</v>
      </c>
      <c r="J966" s="28" t="n">
        <f aca="false">H966*I966</f>
        <v>0.72512</v>
      </c>
    </row>
    <row r="967" customFormat="false" ht="15" hidden="false" customHeight="false" outlineLevel="0" collapsed="false">
      <c r="F967" s="55"/>
      <c r="G967" s="56"/>
      <c r="H967" s="57"/>
      <c r="I967" s="28"/>
      <c r="J967" s="53" t="n">
        <f aca="false">SUM(J966:J966)</f>
        <v>0.72512</v>
      </c>
    </row>
    <row r="968" customFormat="false" ht="15" hidden="false" customHeight="false" outlineLevel="0" collapsed="false">
      <c r="B968" s="54" t="s">
        <v>295</v>
      </c>
    </row>
    <row r="969" customFormat="false" ht="15" hidden="false" customHeight="false" outlineLevel="0" collapsed="false">
      <c r="B969" s="1" t="s">
        <v>729</v>
      </c>
      <c r="F969" s="55" t="s">
        <v>440</v>
      </c>
      <c r="H969" s="57" t="n">
        <v>0.05</v>
      </c>
      <c r="I969" s="28" t="n">
        <v>43.9</v>
      </c>
      <c r="J969" s="28" t="n">
        <f aca="false">H969*I969</f>
        <v>2.195</v>
      </c>
    </row>
    <row r="970" customFormat="false" ht="15" hidden="false" customHeight="false" outlineLevel="0" collapsed="false">
      <c r="J970" s="53" t="n">
        <f aca="false">SUM(J969)</f>
        <v>2.195</v>
      </c>
    </row>
    <row r="971" customFormat="false" ht="15" hidden="false" customHeight="false" outlineLevel="0" collapsed="false">
      <c r="B971" s="54" t="s">
        <v>318</v>
      </c>
    </row>
    <row r="972" customFormat="false" ht="15" hidden="false" customHeight="false" outlineLevel="0" collapsed="false">
      <c r="B972" s="1" t="s">
        <v>311</v>
      </c>
      <c r="F972" s="55" t="s">
        <v>312</v>
      </c>
      <c r="H972" s="57" t="n">
        <v>3</v>
      </c>
      <c r="I972" s="28" t="n">
        <f aca="false">J967</f>
        <v>0.72512</v>
      </c>
      <c r="J972" s="28" t="n">
        <f aca="false">H972%*I972</f>
        <v>0.0217536</v>
      </c>
    </row>
    <row r="973" customFormat="false" ht="15" hidden="false" customHeight="false" outlineLevel="0" collapsed="false">
      <c r="A973" s="60"/>
      <c r="B973" s="60"/>
      <c r="C973" s="60"/>
      <c r="D973" s="60"/>
      <c r="E973" s="60"/>
      <c r="F973" s="60"/>
      <c r="G973" s="60"/>
      <c r="H973" s="60"/>
      <c r="I973" s="60"/>
      <c r="J973" s="61" t="n">
        <f aca="false">SUM(J972)</f>
        <v>0.0217536</v>
      </c>
    </row>
    <row r="974" customFormat="false" ht="15" hidden="false" customHeight="false" outlineLevel="0" collapsed="false">
      <c r="H974" s="57"/>
      <c r="I974" s="28"/>
      <c r="J974" s="28"/>
    </row>
    <row r="975" customFormat="false" ht="15" hidden="false" customHeight="false" outlineLevel="0" collapsed="false">
      <c r="A975" s="14" t="s">
        <v>278</v>
      </c>
      <c r="B975" s="14" t="str">
        <f aca="false">ESTRUCTURA!A78</f>
        <v>02.04.01.06</v>
      </c>
      <c r="C975" s="14" t="s">
        <v>604</v>
      </c>
      <c r="D975" s="14"/>
      <c r="E975" s="14"/>
      <c r="F975" s="14"/>
      <c r="G975" s="14"/>
      <c r="H975" s="14"/>
      <c r="I975" s="14"/>
    </row>
    <row r="976" customFormat="false" ht="15" hidden="false" customHeight="false" outlineLevel="0" collapsed="false">
      <c r="A976" s="14" t="s">
        <v>279</v>
      </c>
      <c r="B976" s="14" t="s">
        <v>314</v>
      </c>
      <c r="C976" s="36" t="s">
        <v>281</v>
      </c>
      <c r="D976" s="52" t="n">
        <v>100</v>
      </c>
      <c r="E976" s="36" t="s">
        <v>282</v>
      </c>
      <c r="F976" s="52" t="n">
        <f aca="false">D976</f>
        <v>100</v>
      </c>
      <c r="G976" s="14" t="s">
        <v>283</v>
      </c>
      <c r="I976" s="36" t="s">
        <v>145</v>
      </c>
      <c r="J976" s="53" t="n">
        <f aca="false">J981+J985+J988</f>
        <v>19.2386832</v>
      </c>
    </row>
    <row r="977" customFormat="false" ht="15" hidden="false" customHeight="false" outlineLevel="0" collapsed="false">
      <c r="A977" s="14" t="s">
        <v>284</v>
      </c>
      <c r="B977" s="14" t="s">
        <v>285</v>
      </c>
      <c r="F977" s="36" t="s">
        <v>123</v>
      </c>
      <c r="G977" s="36" t="s">
        <v>286</v>
      </c>
      <c r="H977" s="36" t="s">
        <v>287</v>
      </c>
      <c r="I977" s="36" t="s">
        <v>288</v>
      </c>
      <c r="J977" s="36" t="s">
        <v>289</v>
      </c>
    </row>
    <row r="978" customFormat="false" ht="15" hidden="false" customHeight="false" outlineLevel="0" collapsed="false">
      <c r="B978" s="54" t="s">
        <v>290</v>
      </c>
    </row>
    <row r="979" customFormat="false" ht="15" hidden="false" customHeight="false" outlineLevel="0" collapsed="false">
      <c r="B979" s="1" t="s">
        <v>651</v>
      </c>
      <c r="F979" s="55" t="s">
        <v>292</v>
      </c>
      <c r="G979" s="56" t="n">
        <v>1</v>
      </c>
      <c r="H979" s="57" t="n">
        <f aca="false">G979*8/$D$976</f>
        <v>0.08</v>
      </c>
      <c r="I979" s="28" t="n">
        <v>34.73</v>
      </c>
      <c r="J979" s="28" t="n">
        <f aca="false">H979*I979</f>
        <v>2.7784</v>
      </c>
    </row>
    <row r="980" customFormat="false" ht="15" hidden="false" customHeight="false" outlineLevel="0" collapsed="false">
      <c r="B980" s="1" t="s">
        <v>291</v>
      </c>
      <c r="F980" s="55" t="s">
        <v>292</v>
      </c>
      <c r="G980" s="56" t="n">
        <v>0.2</v>
      </c>
      <c r="H980" s="57" t="n">
        <f aca="false">G980*8/$D$976</f>
        <v>0.016</v>
      </c>
      <c r="I980" s="28" t="n">
        <v>28.94</v>
      </c>
      <c r="J980" s="28" t="n">
        <f aca="false">H980*I980</f>
        <v>0.46304</v>
      </c>
    </row>
    <row r="981" customFormat="false" ht="15" hidden="false" customHeight="false" outlineLevel="0" collapsed="false">
      <c r="F981" s="55"/>
      <c r="G981" s="56"/>
      <c r="H981" s="57"/>
      <c r="I981" s="28"/>
      <c r="J981" s="53" t="n">
        <f aca="false">SUM(J979:J980)</f>
        <v>3.24144</v>
      </c>
    </row>
    <row r="982" customFormat="false" ht="15" hidden="false" customHeight="false" outlineLevel="0" collapsed="false">
      <c r="B982" s="54" t="s">
        <v>295</v>
      </c>
      <c r="F982" s="55"/>
    </row>
    <row r="983" customFormat="false" ht="15" hidden="false" customHeight="false" outlineLevel="0" collapsed="false">
      <c r="B983" s="1" t="s">
        <v>730</v>
      </c>
      <c r="F983" s="55" t="s">
        <v>134</v>
      </c>
      <c r="H983" s="57" t="n">
        <v>0.05</v>
      </c>
      <c r="I983" s="28" t="n">
        <v>18</v>
      </c>
      <c r="J983" s="28" t="n">
        <f aca="false">H983*I983</f>
        <v>0.9</v>
      </c>
    </row>
    <row r="984" customFormat="false" ht="15" hidden="false" customHeight="false" outlineLevel="0" collapsed="false">
      <c r="B984" s="1" t="s">
        <v>731</v>
      </c>
      <c r="F984" s="55" t="s">
        <v>440</v>
      </c>
      <c r="H984" s="57" t="n">
        <v>0.1</v>
      </c>
      <c r="I984" s="28" t="n">
        <v>150</v>
      </c>
      <c r="J984" s="28" t="n">
        <f aca="false">H984*I984</f>
        <v>15</v>
      </c>
    </row>
    <row r="985" customFormat="false" ht="15" hidden="false" customHeight="false" outlineLevel="0" collapsed="false">
      <c r="J985" s="53" t="n">
        <f aca="false">SUM(J983:J984)</f>
        <v>15.9</v>
      </c>
    </row>
    <row r="986" customFormat="false" ht="15" hidden="false" customHeight="false" outlineLevel="0" collapsed="false">
      <c r="B986" s="54" t="s">
        <v>318</v>
      </c>
    </row>
    <row r="987" customFormat="false" ht="15" hidden="false" customHeight="false" outlineLevel="0" collapsed="false">
      <c r="B987" s="1" t="s">
        <v>311</v>
      </c>
      <c r="F987" s="55" t="s">
        <v>312</v>
      </c>
      <c r="H987" s="57" t="n">
        <v>3</v>
      </c>
      <c r="I987" s="28" t="n">
        <f aca="false">J981</f>
        <v>3.24144</v>
      </c>
      <c r="J987" s="28" t="n">
        <f aca="false">H987%*I987</f>
        <v>0.0972432</v>
      </c>
    </row>
    <row r="988" customFormat="false" ht="15" hidden="false" customHeight="false" outlineLevel="0" collapsed="false">
      <c r="A988" s="60"/>
      <c r="B988" s="60"/>
      <c r="C988" s="60"/>
      <c r="D988" s="60"/>
      <c r="E988" s="60"/>
      <c r="F988" s="60"/>
      <c r="G988" s="60"/>
      <c r="H988" s="60"/>
      <c r="I988" s="60"/>
      <c r="J988" s="61" t="n">
        <f aca="false">SUM(J987)</f>
        <v>0.0972432</v>
      </c>
    </row>
    <row r="990" customFormat="false" ht="15" hidden="false" customHeight="false" outlineLevel="0" collapsed="false">
      <c r="A990" s="14" t="s">
        <v>278</v>
      </c>
      <c r="B990" s="14" t="str">
        <f aca="false">ESTRUCTURA!A79</f>
        <v>02.04.01.07</v>
      </c>
      <c r="C990" s="14" t="s">
        <v>606</v>
      </c>
      <c r="D990" s="14"/>
      <c r="E990" s="14"/>
      <c r="F990" s="14"/>
      <c r="G990" s="14"/>
      <c r="H990" s="14"/>
      <c r="I990" s="14"/>
    </row>
    <row r="991" customFormat="false" ht="15" hidden="false" customHeight="false" outlineLevel="0" collapsed="false">
      <c r="A991" s="14" t="s">
        <v>279</v>
      </c>
      <c r="B991" s="14" t="s">
        <v>314</v>
      </c>
      <c r="C991" s="36" t="s">
        <v>281</v>
      </c>
      <c r="D991" s="52" t="n">
        <v>100</v>
      </c>
      <c r="E991" s="36" t="s">
        <v>282</v>
      </c>
      <c r="F991" s="52" t="n">
        <f aca="false">D991</f>
        <v>100</v>
      </c>
      <c r="G991" s="14" t="s">
        <v>283</v>
      </c>
      <c r="I991" s="36" t="s">
        <v>145</v>
      </c>
      <c r="J991" s="53" t="n">
        <f aca="false">J996+J1000+J1003</f>
        <v>19.2386832</v>
      </c>
    </row>
    <row r="992" customFormat="false" ht="15" hidden="false" customHeight="false" outlineLevel="0" collapsed="false">
      <c r="A992" s="14" t="s">
        <v>284</v>
      </c>
      <c r="B992" s="14" t="s">
        <v>285</v>
      </c>
      <c r="F992" s="36" t="s">
        <v>123</v>
      </c>
      <c r="G992" s="36" t="s">
        <v>286</v>
      </c>
      <c r="H992" s="36" t="s">
        <v>287</v>
      </c>
      <c r="I992" s="36" t="s">
        <v>288</v>
      </c>
      <c r="J992" s="36" t="s">
        <v>289</v>
      </c>
    </row>
    <row r="993" customFormat="false" ht="15" hidden="false" customHeight="false" outlineLevel="0" collapsed="false">
      <c r="B993" s="54" t="s">
        <v>290</v>
      </c>
    </row>
    <row r="994" customFormat="false" ht="15" hidden="false" customHeight="false" outlineLevel="0" collapsed="false">
      <c r="B994" s="1" t="s">
        <v>651</v>
      </c>
      <c r="F994" s="55" t="s">
        <v>292</v>
      </c>
      <c r="G994" s="56" t="n">
        <v>1</v>
      </c>
      <c r="H994" s="57" t="n">
        <f aca="false">G994*8/$D$991</f>
        <v>0.08</v>
      </c>
      <c r="I994" s="28" t="n">
        <v>34.73</v>
      </c>
      <c r="J994" s="28" t="n">
        <f aca="false">H994*I994</f>
        <v>2.7784</v>
      </c>
    </row>
    <row r="995" customFormat="false" ht="15" hidden="false" customHeight="false" outlineLevel="0" collapsed="false">
      <c r="B995" s="1" t="s">
        <v>291</v>
      </c>
      <c r="F995" s="55" t="s">
        <v>292</v>
      </c>
      <c r="G995" s="56" t="n">
        <v>0.2</v>
      </c>
      <c r="H995" s="57" t="n">
        <f aca="false">G995*8/$D$991</f>
        <v>0.016</v>
      </c>
      <c r="I995" s="28" t="n">
        <v>28.94</v>
      </c>
      <c r="J995" s="28" t="n">
        <f aca="false">H995*I995</f>
        <v>0.46304</v>
      </c>
    </row>
    <row r="996" customFormat="false" ht="15" hidden="false" customHeight="false" outlineLevel="0" collapsed="false">
      <c r="F996" s="55"/>
      <c r="G996" s="56"/>
      <c r="H996" s="57"/>
      <c r="I996" s="28"/>
      <c r="J996" s="53" t="n">
        <f aca="false">SUM(J994:J995)</f>
        <v>3.24144</v>
      </c>
    </row>
    <row r="997" customFormat="false" ht="15" hidden="false" customHeight="false" outlineLevel="0" collapsed="false">
      <c r="B997" s="54" t="s">
        <v>295</v>
      </c>
      <c r="F997" s="55"/>
    </row>
    <row r="998" customFormat="false" ht="15" hidden="false" customHeight="false" outlineLevel="0" collapsed="false">
      <c r="B998" s="1" t="s">
        <v>730</v>
      </c>
      <c r="F998" s="55" t="s">
        <v>134</v>
      </c>
      <c r="H998" s="57" t="n">
        <v>0.05</v>
      </c>
      <c r="I998" s="28" t="n">
        <v>18</v>
      </c>
      <c r="J998" s="28" t="n">
        <f aca="false">H998*I998</f>
        <v>0.9</v>
      </c>
    </row>
    <row r="999" customFormat="false" ht="15" hidden="false" customHeight="false" outlineLevel="0" collapsed="false">
      <c r="B999" s="1" t="s">
        <v>731</v>
      </c>
      <c r="F999" s="55" t="s">
        <v>440</v>
      </c>
      <c r="H999" s="57" t="n">
        <v>0.1</v>
      </c>
      <c r="I999" s="28" t="n">
        <v>150</v>
      </c>
      <c r="J999" s="28" t="n">
        <f aca="false">H999*I999</f>
        <v>15</v>
      </c>
    </row>
    <row r="1000" customFormat="false" ht="15" hidden="false" customHeight="false" outlineLevel="0" collapsed="false">
      <c r="J1000" s="53" t="n">
        <f aca="false">SUM(J998:J999)</f>
        <v>15.9</v>
      </c>
    </row>
    <row r="1001" customFormat="false" ht="15" hidden="false" customHeight="false" outlineLevel="0" collapsed="false">
      <c r="B1001" s="54" t="s">
        <v>318</v>
      </c>
    </row>
    <row r="1002" customFormat="false" ht="15" hidden="false" customHeight="false" outlineLevel="0" collapsed="false">
      <c r="B1002" s="1" t="s">
        <v>311</v>
      </c>
      <c r="F1002" s="55" t="s">
        <v>312</v>
      </c>
      <c r="H1002" s="57" t="n">
        <v>3</v>
      </c>
      <c r="I1002" s="28" t="n">
        <f aca="false">J996</f>
        <v>3.24144</v>
      </c>
      <c r="J1002" s="28" t="n">
        <f aca="false">H1002%*I1002</f>
        <v>0.0972432</v>
      </c>
    </row>
    <row r="1003" customFormat="false" ht="15" hidden="false" customHeight="false" outlineLevel="0" collapsed="false">
      <c r="A1003" s="60"/>
      <c r="B1003" s="60"/>
      <c r="C1003" s="60"/>
      <c r="D1003" s="60"/>
      <c r="E1003" s="60"/>
      <c r="F1003" s="60"/>
      <c r="G1003" s="60"/>
      <c r="H1003" s="60"/>
      <c r="I1003" s="60"/>
      <c r="J1003" s="61" t="n">
        <f aca="false">SUM(J1002)</f>
        <v>0.0972432</v>
      </c>
    </row>
    <row r="1005" customFormat="false" ht="15" hidden="false" customHeight="false" outlineLevel="0" collapsed="false">
      <c r="A1005" s="14" t="s">
        <v>278</v>
      </c>
      <c r="B1005" s="14" t="str">
        <f aca="false">ESTRUCTURA!A80</f>
        <v>02.04.01.08</v>
      </c>
      <c r="C1005" s="14" t="s">
        <v>608</v>
      </c>
      <c r="D1005" s="14"/>
    </row>
    <row r="1006" customFormat="false" ht="15" hidden="false" customHeight="false" outlineLevel="0" collapsed="false">
      <c r="A1006" s="14" t="s">
        <v>279</v>
      </c>
      <c r="B1006" s="14" t="s">
        <v>314</v>
      </c>
      <c r="C1006" s="36" t="s">
        <v>281</v>
      </c>
      <c r="D1006" s="52" t="n">
        <v>1</v>
      </c>
      <c r="E1006" s="36" t="s">
        <v>282</v>
      </c>
      <c r="F1006" s="52" t="n">
        <f aca="false">D1006</f>
        <v>1</v>
      </c>
      <c r="G1006" s="14" t="s">
        <v>283</v>
      </c>
      <c r="I1006" s="36" t="s">
        <v>145</v>
      </c>
      <c r="J1006" s="53" t="n">
        <f aca="false">J1010</f>
        <v>616.64</v>
      </c>
    </row>
    <row r="1007" customFormat="false" ht="15" hidden="false" customHeight="false" outlineLevel="0" collapsed="false">
      <c r="A1007" s="14" t="s">
        <v>284</v>
      </c>
      <c r="B1007" s="14" t="s">
        <v>285</v>
      </c>
      <c r="F1007" s="36" t="s">
        <v>123</v>
      </c>
      <c r="G1007" s="36" t="s">
        <v>286</v>
      </c>
      <c r="H1007" s="36" t="s">
        <v>287</v>
      </c>
      <c r="I1007" s="36" t="s">
        <v>288</v>
      </c>
      <c r="J1007" s="36" t="s">
        <v>289</v>
      </c>
    </row>
    <row r="1008" customFormat="false" ht="15" hidden="false" customHeight="false" outlineLevel="0" collapsed="false">
      <c r="B1008" s="54" t="s">
        <v>290</v>
      </c>
    </row>
    <row r="1009" customFormat="false" ht="15" hidden="false" customHeight="false" outlineLevel="0" collapsed="false">
      <c r="B1009" s="1" t="s">
        <v>608</v>
      </c>
      <c r="H1009" s="57" t="n">
        <v>1</v>
      </c>
      <c r="I1009" s="28" t="n">
        <v>616.64</v>
      </c>
      <c r="J1009" s="28" t="n">
        <f aca="false">H1009*I1009</f>
        <v>616.64</v>
      </c>
    </row>
    <row r="1010" customFormat="false" ht="15" hidden="false" customHeight="false" outlineLevel="0" collapsed="false">
      <c r="A1010" s="60"/>
      <c r="B1010" s="60"/>
      <c r="C1010" s="60"/>
      <c r="D1010" s="60"/>
      <c r="E1010" s="60"/>
      <c r="F1010" s="62"/>
      <c r="G1010" s="60"/>
      <c r="H1010" s="64"/>
      <c r="I1010" s="65"/>
      <c r="J1010" s="61" t="n">
        <f aca="false">SUM(J1009)</f>
        <v>616.64</v>
      </c>
    </row>
    <row r="1012" customFormat="false" ht="15" hidden="false" customHeight="false" outlineLevel="0" collapsed="false">
      <c r="A1012" s="14" t="s">
        <v>278</v>
      </c>
      <c r="B1012" s="14" t="str">
        <f aca="false">ESTRUCTURA!A82</f>
        <v>02.04.02.01</v>
      </c>
      <c r="C1012" s="14" t="s">
        <v>611</v>
      </c>
      <c r="D1012" s="14"/>
      <c r="E1012" s="14"/>
      <c r="F1012" s="14"/>
      <c r="G1012" s="14"/>
      <c r="H1012" s="14"/>
      <c r="I1012" s="14"/>
    </row>
    <row r="1013" customFormat="false" ht="15" hidden="false" customHeight="false" outlineLevel="0" collapsed="false">
      <c r="A1013" s="14" t="s">
        <v>279</v>
      </c>
      <c r="B1013" s="14" t="s">
        <v>417</v>
      </c>
      <c r="C1013" s="36" t="s">
        <v>281</v>
      </c>
      <c r="D1013" s="52" t="n">
        <v>30</v>
      </c>
      <c r="E1013" s="36" t="s">
        <v>282</v>
      </c>
      <c r="F1013" s="52" t="n">
        <f aca="false">D1013</f>
        <v>30</v>
      </c>
      <c r="G1013" s="14" t="s">
        <v>283</v>
      </c>
      <c r="I1013" s="36" t="s">
        <v>204</v>
      </c>
      <c r="J1013" s="53" t="n">
        <f aca="false">J1020+J1025+J1029</f>
        <v>445.669224</v>
      </c>
    </row>
    <row r="1014" customFormat="false" ht="15" hidden="false" customHeight="false" outlineLevel="0" collapsed="false">
      <c r="A1014" s="14" t="s">
        <v>284</v>
      </c>
      <c r="B1014" s="14" t="s">
        <v>285</v>
      </c>
      <c r="F1014" s="36" t="s">
        <v>123</v>
      </c>
      <c r="G1014" s="36" t="s">
        <v>286</v>
      </c>
      <c r="H1014" s="36" t="s">
        <v>287</v>
      </c>
      <c r="I1014" s="36" t="s">
        <v>288</v>
      </c>
      <c r="J1014" s="36" t="s">
        <v>289</v>
      </c>
    </row>
    <row r="1015" customFormat="false" ht="15" hidden="false" customHeight="false" outlineLevel="0" collapsed="false">
      <c r="B1015" s="54" t="s">
        <v>290</v>
      </c>
    </row>
    <row r="1016" customFormat="false" ht="15" hidden="false" customHeight="false" outlineLevel="0" collapsed="false">
      <c r="B1016" s="1" t="s">
        <v>651</v>
      </c>
      <c r="F1016" s="55" t="s">
        <v>292</v>
      </c>
      <c r="G1016" s="56" t="n">
        <v>0.1</v>
      </c>
      <c r="H1016" s="57" t="n">
        <f aca="false">G1016*8/$D$899</f>
        <v>0.0266666666666667</v>
      </c>
      <c r="I1016" s="28" t="n">
        <v>34.73</v>
      </c>
      <c r="J1016" s="28" t="n">
        <f aca="false">H1016*I1016</f>
        <v>0.926133333333333</v>
      </c>
    </row>
    <row r="1017" customFormat="false" ht="15" hidden="false" customHeight="false" outlineLevel="0" collapsed="false">
      <c r="B1017" s="1" t="s">
        <v>291</v>
      </c>
      <c r="F1017" s="55" t="s">
        <v>292</v>
      </c>
      <c r="G1017" s="56" t="n">
        <v>2</v>
      </c>
      <c r="H1017" s="57" t="n">
        <f aca="false">G1017*8/$D$899</f>
        <v>0.533333333333333</v>
      </c>
      <c r="I1017" s="28" t="n">
        <v>28.94</v>
      </c>
      <c r="J1017" s="28" t="n">
        <f aca="false">H1017*I1017</f>
        <v>15.4346666666667</v>
      </c>
    </row>
    <row r="1018" customFormat="false" ht="15" hidden="false" customHeight="false" outlineLevel="0" collapsed="false">
      <c r="B1018" s="1" t="s">
        <v>293</v>
      </c>
      <c r="F1018" s="55" t="s">
        <v>292</v>
      </c>
      <c r="G1018" s="56" t="n">
        <v>1</v>
      </c>
      <c r="H1018" s="57" t="n">
        <f aca="false">G1018*8/$D$899</f>
        <v>0.266666666666667</v>
      </c>
      <c r="I1018" s="28" t="n">
        <v>22.66</v>
      </c>
      <c r="J1018" s="28" t="n">
        <f aca="false">H1018*I1018</f>
        <v>6.04266666666667</v>
      </c>
    </row>
    <row r="1019" customFormat="false" ht="15" hidden="false" customHeight="false" outlineLevel="0" collapsed="false">
      <c r="B1019" s="1" t="s">
        <v>294</v>
      </c>
      <c r="F1019" s="55" t="s">
        <v>292</v>
      </c>
      <c r="G1019" s="56" t="n">
        <v>4</v>
      </c>
      <c r="H1019" s="57" t="n">
        <f aca="false">G1019*8/$D$899</f>
        <v>1.06666666666667</v>
      </c>
      <c r="I1019" s="28" t="n">
        <v>20.51</v>
      </c>
      <c r="J1019" s="28" t="n">
        <f aca="false">H1019*I1019</f>
        <v>21.8773333333333</v>
      </c>
    </row>
    <row r="1020" customFormat="false" ht="15" hidden="false" customHeight="false" outlineLevel="0" collapsed="false">
      <c r="J1020" s="53" t="n">
        <f aca="false">SUM(J1016:J1019)</f>
        <v>44.2808</v>
      </c>
    </row>
    <row r="1021" customFormat="false" ht="15" hidden="false" customHeight="false" outlineLevel="0" collapsed="false">
      <c r="B1021" s="54" t="s">
        <v>295</v>
      </c>
    </row>
    <row r="1022" customFormat="false" ht="15" hidden="false" customHeight="false" outlineLevel="0" collapsed="false">
      <c r="B1022" s="1" t="s">
        <v>722</v>
      </c>
      <c r="E1022" s="1" t="s">
        <v>297</v>
      </c>
      <c r="H1022" s="57" t="n">
        <v>0.1</v>
      </c>
      <c r="I1022" s="28" t="n">
        <v>24.52</v>
      </c>
      <c r="J1022" s="28" t="n">
        <f aca="false">H1022*I1022</f>
        <v>2.452</v>
      </c>
    </row>
    <row r="1023" customFormat="false" ht="15" hidden="false" customHeight="false" outlineLevel="0" collapsed="false">
      <c r="B1023" s="1" t="s">
        <v>723</v>
      </c>
      <c r="E1023" s="1" t="s">
        <v>297</v>
      </c>
      <c r="H1023" s="57" t="n">
        <v>1.02</v>
      </c>
      <c r="I1023" s="28" t="n">
        <v>358</v>
      </c>
      <c r="J1023" s="28" t="n">
        <f aca="false">H1023*I1023</f>
        <v>365.16</v>
      </c>
    </row>
    <row r="1024" customFormat="false" ht="15" hidden="false" customHeight="false" outlineLevel="0" collapsed="false">
      <c r="B1024" s="1" t="s">
        <v>724</v>
      </c>
      <c r="E1024" s="1" t="s">
        <v>306</v>
      </c>
      <c r="H1024" s="57" t="n">
        <v>1.02</v>
      </c>
      <c r="I1024" s="28" t="n">
        <v>30</v>
      </c>
      <c r="J1024" s="28" t="n">
        <f aca="false">H1024*I1024</f>
        <v>30.6</v>
      </c>
    </row>
    <row r="1025" customFormat="false" ht="15" hidden="false" customHeight="false" outlineLevel="0" collapsed="false">
      <c r="J1025" s="53" t="n">
        <f aca="false">SUM(J1022:J1024)</f>
        <v>398.212</v>
      </c>
    </row>
    <row r="1026" customFormat="false" ht="15" hidden="false" customHeight="false" outlineLevel="0" collapsed="false">
      <c r="B1026" s="54" t="s">
        <v>318</v>
      </c>
    </row>
    <row r="1027" customFormat="false" ht="15" hidden="false" customHeight="false" outlineLevel="0" collapsed="false">
      <c r="B1027" s="1" t="s">
        <v>311</v>
      </c>
      <c r="F1027" s="55" t="s">
        <v>312</v>
      </c>
      <c r="H1027" s="57" t="n">
        <v>3</v>
      </c>
      <c r="I1027" s="28" t="n">
        <f aca="false">J1020</f>
        <v>44.2808</v>
      </c>
      <c r="J1027" s="28" t="n">
        <f aca="false">H1027%*I1027</f>
        <v>1.328424</v>
      </c>
    </row>
    <row r="1028" customFormat="false" ht="15" hidden="false" customHeight="false" outlineLevel="0" collapsed="false">
      <c r="B1028" s="1" t="s">
        <v>725</v>
      </c>
      <c r="F1028" s="55" t="s">
        <v>338</v>
      </c>
      <c r="G1028" s="56" t="n">
        <v>1</v>
      </c>
      <c r="H1028" s="57" t="n">
        <f aca="false">G1028*8/$D$899</f>
        <v>0.266666666666667</v>
      </c>
      <c r="I1028" s="28" t="n">
        <v>6.93</v>
      </c>
      <c r="J1028" s="28" t="n">
        <f aca="false">H1028*I1028</f>
        <v>1.848</v>
      </c>
    </row>
    <row r="1029" customFormat="false" ht="15" hidden="false" customHeight="false" outlineLevel="0" collapsed="false">
      <c r="A1029" s="60"/>
      <c r="B1029" s="60"/>
      <c r="C1029" s="60"/>
      <c r="D1029" s="60"/>
      <c r="E1029" s="60"/>
      <c r="F1029" s="60"/>
      <c r="G1029" s="60"/>
      <c r="H1029" s="60"/>
      <c r="I1029" s="60"/>
      <c r="J1029" s="61" t="n">
        <f aca="false">SUM(J1027:J1028)</f>
        <v>3.176424</v>
      </c>
    </row>
    <row r="1030" customFormat="false" ht="15" hidden="false" customHeight="false" outlineLevel="0" collapsed="false">
      <c r="J1030" s="53"/>
    </row>
    <row r="1031" customFormat="false" ht="15" hidden="false" customHeight="false" outlineLevel="0" collapsed="false">
      <c r="A1031" s="14" t="s">
        <v>278</v>
      </c>
      <c r="B1031" s="14" t="str">
        <f aca="false">ESTRUCTURA!A83</f>
        <v>02.04.02.02</v>
      </c>
      <c r="C1031" s="14" t="s">
        <v>596</v>
      </c>
      <c r="D1031" s="14"/>
      <c r="E1031" s="14"/>
      <c r="F1031" s="14"/>
      <c r="G1031" s="14"/>
      <c r="H1031" s="14"/>
      <c r="I1031" s="14"/>
    </row>
    <row r="1032" customFormat="false" ht="15" hidden="false" customHeight="false" outlineLevel="0" collapsed="false">
      <c r="A1032" s="14" t="s">
        <v>279</v>
      </c>
      <c r="B1032" s="14" t="s">
        <v>417</v>
      </c>
      <c r="C1032" s="36" t="s">
        <v>281</v>
      </c>
      <c r="D1032" s="52" t="n">
        <v>30</v>
      </c>
      <c r="E1032" s="36" t="s">
        <v>282</v>
      </c>
      <c r="F1032" s="52" t="n">
        <f aca="false">D1032</f>
        <v>30</v>
      </c>
      <c r="G1032" s="14" t="s">
        <v>283</v>
      </c>
      <c r="I1032" s="36" t="s">
        <v>204</v>
      </c>
      <c r="J1032" s="53" t="n">
        <f aca="false">J1039+J1044+J1048</f>
        <v>445.669224</v>
      </c>
    </row>
    <row r="1033" customFormat="false" ht="15" hidden="false" customHeight="false" outlineLevel="0" collapsed="false">
      <c r="A1033" s="14" t="s">
        <v>284</v>
      </c>
      <c r="B1033" s="14" t="s">
        <v>285</v>
      </c>
      <c r="F1033" s="36" t="s">
        <v>123</v>
      </c>
      <c r="G1033" s="36" t="s">
        <v>286</v>
      </c>
      <c r="H1033" s="36" t="s">
        <v>287</v>
      </c>
      <c r="I1033" s="36" t="s">
        <v>288</v>
      </c>
      <c r="J1033" s="36" t="s">
        <v>289</v>
      </c>
    </row>
    <row r="1034" customFormat="false" ht="15" hidden="false" customHeight="false" outlineLevel="0" collapsed="false">
      <c r="B1034" s="54" t="s">
        <v>290</v>
      </c>
    </row>
    <row r="1035" customFormat="false" ht="15" hidden="false" customHeight="false" outlineLevel="0" collapsed="false">
      <c r="B1035" s="1" t="s">
        <v>651</v>
      </c>
      <c r="F1035" s="55" t="s">
        <v>292</v>
      </c>
      <c r="G1035" s="56" t="n">
        <v>0.1</v>
      </c>
      <c r="H1035" s="57" t="n">
        <f aca="false">G1035*8/$D$1032</f>
        <v>0.0266666666666667</v>
      </c>
      <c r="I1035" s="28" t="n">
        <v>34.73</v>
      </c>
      <c r="J1035" s="28" t="n">
        <f aca="false">H1035*I1035</f>
        <v>0.926133333333333</v>
      </c>
    </row>
    <row r="1036" customFormat="false" ht="15" hidden="false" customHeight="false" outlineLevel="0" collapsed="false">
      <c r="B1036" s="1" t="s">
        <v>291</v>
      </c>
      <c r="F1036" s="55" t="s">
        <v>292</v>
      </c>
      <c r="G1036" s="56" t="n">
        <v>2</v>
      </c>
      <c r="H1036" s="57" t="n">
        <f aca="false">G1036*8/$D$1032</f>
        <v>0.533333333333333</v>
      </c>
      <c r="I1036" s="28" t="n">
        <v>28.94</v>
      </c>
      <c r="J1036" s="28" t="n">
        <f aca="false">H1036*I1036</f>
        <v>15.4346666666667</v>
      </c>
    </row>
    <row r="1037" customFormat="false" ht="15" hidden="false" customHeight="false" outlineLevel="0" collapsed="false">
      <c r="B1037" s="1" t="s">
        <v>293</v>
      </c>
      <c r="F1037" s="55" t="s">
        <v>292</v>
      </c>
      <c r="G1037" s="56" t="n">
        <v>1</v>
      </c>
      <c r="H1037" s="57" t="n">
        <f aca="false">G1037*8/$D$1032</f>
        <v>0.266666666666667</v>
      </c>
      <c r="I1037" s="28" t="n">
        <v>22.66</v>
      </c>
      <c r="J1037" s="28" t="n">
        <f aca="false">H1037*I1037</f>
        <v>6.04266666666667</v>
      </c>
    </row>
    <row r="1038" customFormat="false" ht="15" hidden="false" customHeight="false" outlineLevel="0" collapsed="false">
      <c r="B1038" s="1" t="s">
        <v>294</v>
      </c>
      <c r="F1038" s="55" t="s">
        <v>292</v>
      </c>
      <c r="G1038" s="56" t="n">
        <v>4</v>
      </c>
      <c r="H1038" s="57" t="n">
        <f aca="false">G1038*8/$D$1032</f>
        <v>1.06666666666667</v>
      </c>
      <c r="I1038" s="28" t="n">
        <v>20.51</v>
      </c>
      <c r="J1038" s="28" t="n">
        <f aca="false">H1038*I1038</f>
        <v>21.8773333333333</v>
      </c>
    </row>
    <row r="1039" customFormat="false" ht="15" hidden="false" customHeight="false" outlineLevel="0" collapsed="false">
      <c r="J1039" s="53" t="n">
        <f aca="false">SUM(J1035:J1038)</f>
        <v>44.2808</v>
      </c>
    </row>
    <row r="1040" customFormat="false" ht="15" hidden="false" customHeight="false" outlineLevel="0" collapsed="false">
      <c r="B1040" s="54" t="s">
        <v>295</v>
      </c>
    </row>
    <row r="1041" customFormat="false" ht="15" hidden="false" customHeight="false" outlineLevel="0" collapsed="false">
      <c r="B1041" s="1" t="s">
        <v>722</v>
      </c>
      <c r="E1041" s="1" t="s">
        <v>297</v>
      </c>
      <c r="H1041" s="57" t="n">
        <v>0.1</v>
      </c>
      <c r="I1041" s="28" t="n">
        <v>24.52</v>
      </c>
      <c r="J1041" s="28" t="n">
        <f aca="false">H1041*I1041</f>
        <v>2.452</v>
      </c>
    </row>
    <row r="1042" customFormat="false" ht="15" hidden="false" customHeight="false" outlineLevel="0" collapsed="false">
      <c r="B1042" s="1" t="s">
        <v>723</v>
      </c>
      <c r="E1042" s="1" t="s">
        <v>297</v>
      </c>
      <c r="H1042" s="57" t="n">
        <v>1.02</v>
      </c>
      <c r="I1042" s="1" t="n">
        <v>358</v>
      </c>
      <c r="J1042" s="28" t="n">
        <f aca="false">H1042*I1042</f>
        <v>365.16</v>
      </c>
    </row>
    <row r="1043" customFormat="false" ht="15" hidden="false" customHeight="false" outlineLevel="0" collapsed="false">
      <c r="B1043" s="1" t="s">
        <v>724</v>
      </c>
      <c r="E1043" s="1" t="s">
        <v>306</v>
      </c>
      <c r="H1043" s="57" t="n">
        <v>1.02</v>
      </c>
      <c r="I1043" s="28" t="n">
        <v>30</v>
      </c>
      <c r="J1043" s="28" t="n">
        <f aca="false">H1043*I1043</f>
        <v>30.6</v>
      </c>
    </row>
    <row r="1044" customFormat="false" ht="15" hidden="false" customHeight="false" outlineLevel="0" collapsed="false">
      <c r="J1044" s="53" t="n">
        <f aca="false">SUM(J1041:J1043)</f>
        <v>398.212</v>
      </c>
    </row>
    <row r="1045" customFormat="false" ht="15" hidden="false" customHeight="false" outlineLevel="0" collapsed="false">
      <c r="B1045" s="54" t="s">
        <v>318</v>
      </c>
    </row>
    <row r="1046" customFormat="false" ht="15" hidden="false" customHeight="false" outlineLevel="0" collapsed="false">
      <c r="B1046" s="1" t="s">
        <v>311</v>
      </c>
      <c r="F1046" s="55" t="s">
        <v>312</v>
      </c>
      <c r="H1046" s="57" t="n">
        <v>3</v>
      </c>
      <c r="I1046" s="28" t="n">
        <f aca="false">J1039</f>
        <v>44.2808</v>
      </c>
      <c r="J1046" s="28" t="n">
        <f aca="false">H1046%*I1046</f>
        <v>1.328424</v>
      </c>
    </row>
    <row r="1047" customFormat="false" ht="15" hidden="false" customHeight="false" outlineLevel="0" collapsed="false">
      <c r="B1047" s="1" t="s">
        <v>725</v>
      </c>
      <c r="F1047" s="55" t="s">
        <v>338</v>
      </c>
      <c r="G1047" s="56" t="n">
        <v>1</v>
      </c>
      <c r="H1047" s="57" t="n">
        <f aca="false">G1047*8/$D$1032</f>
        <v>0.266666666666667</v>
      </c>
      <c r="I1047" s="28" t="n">
        <v>6.93</v>
      </c>
      <c r="J1047" s="28" t="n">
        <f aca="false">H1047*I1047</f>
        <v>1.848</v>
      </c>
    </row>
    <row r="1048" customFormat="false" ht="15" hidden="false" customHeight="false" outlineLevel="0" collapsed="false">
      <c r="A1048" s="60"/>
      <c r="B1048" s="60"/>
      <c r="C1048" s="60"/>
      <c r="D1048" s="60"/>
      <c r="E1048" s="60"/>
      <c r="F1048" s="60"/>
      <c r="G1048" s="60"/>
      <c r="H1048" s="60"/>
      <c r="I1048" s="60"/>
      <c r="J1048" s="61" t="n">
        <f aca="false">SUM(J1046:J1047)</f>
        <v>3.176424</v>
      </c>
    </row>
    <row r="1049" customFormat="false" ht="15" hidden="false" customHeight="false" outlineLevel="0" collapsed="false">
      <c r="J1049" s="53"/>
    </row>
    <row r="1050" customFormat="false" ht="15" hidden="false" customHeight="false" outlineLevel="0" collapsed="false">
      <c r="A1050" s="14" t="s">
        <v>278</v>
      </c>
      <c r="B1050" s="14" t="str">
        <f aca="false">ESTRUCTURA!A84</f>
        <v>02.04.02.03</v>
      </c>
      <c r="C1050" s="14" t="s">
        <v>598</v>
      </c>
      <c r="D1050" s="14"/>
      <c r="E1050" s="14"/>
      <c r="F1050" s="14"/>
      <c r="G1050" s="14"/>
      <c r="H1050" s="14"/>
      <c r="I1050" s="14"/>
    </row>
    <row r="1051" customFormat="false" ht="15" hidden="false" customHeight="false" outlineLevel="0" collapsed="false">
      <c r="A1051" s="14" t="s">
        <v>279</v>
      </c>
      <c r="B1051" s="14" t="s">
        <v>280</v>
      </c>
      <c r="C1051" s="36" t="s">
        <v>281</v>
      </c>
      <c r="D1051" s="52" t="n">
        <v>25</v>
      </c>
      <c r="E1051" s="36" t="s">
        <v>282</v>
      </c>
      <c r="F1051" s="52" t="n">
        <f aca="false">D1051</f>
        <v>25</v>
      </c>
      <c r="G1051" s="14" t="s">
        <v>283</v>
      </c>
      <c r="I1051" s="36" t="s">
        <v>134</v>
      </c>
      <c r="J1051" s="53" t="n">
        <f aca="false">J1058+J1063+J1067</f>
        <v>118.0135648</v>
      </c>
    </row>
    <row r="1052" customFormat="false" ht="15" hidden="false" customHeight="false" outlineLevel="0" collapsed="false">
      <c r="A1052" s="14" t="s">
        <v>284</v>
      </c>
      <c r="B1052" s="14" t="s">
        <v>285</v>
      </c>
      <c r="F1052" s="36" t="s">
        <v>123</v>
      </c>
      <c r="G1052" s="36" t="s">
        <v>286</v>
      </c>
      <c r="H1052" s="36" t="s">
        <v>287</v>
      </c>
      <c r="I1052" s="36" t="s">
        <v>288</v>
      </c>
      <c r="J1052" s="36" t="s">
        <v>289</v>
      </c>
    </row>
    <row r="1053" customFormat="false" ht="15" hidden="false" customHeight="false" outlineLevel="0" collapsed="false">
      <c r="B1053" s="54" t="s">
        <v>290</v>
      </c>
    </row>
    <row r="1054" customFormat="false" ht="15" hidden="false" customHeight="false" outlineLevel="0" collapsed="false">
      <c r="B1054" s="1" t="s">
        <v>651</v>
      </c>
      <c r="F1054" s="55" t="s">
        <v>292</v>
      </c>
      <c r="G1054" s="56" t="n">
        <v>0.1</v>
      </c>
      <c r="H1054" s="57" t="n">
        <f aca="false">G1054*8/$D$1051</f>
        <v>0.032</v>
      </c>
      <c r="I1054" s="28" t="n">
        <v>34.73</v>
      </c>
      <c r="J1054" s="28" t="n">
        <f aca="false">H1054*I1054</f>
        <v>1.11136</v>
      </c>
    </row>
    <row r="1055" customFormat="false" ht="15" hidden="false" customHeight="false" outlineLevel="0" collapsed="false">
      <c r="B1055" s="1" t="s">
        <v>291</v>
      </c>
      <c r="F1055" s="55" t="s">
        <v>292</v>
      </c>
      <c r="G1055" s="56" t="n">
        <v>1</v>
      </c>
      <c r="H1055" s="57" t="n">
        <f aca="false">G1055*8/$D$1051</f>
        <v>0.32</v>
      </c>
      <c r="I1055" s="28" t="n">
        <v>28.94</v>
      </c>
      <c r="J1055" s="28" t="n">
        <f aca="false">H1055*I1055</f>
        <v>9.2608</v>
      </c>
    </row>
    <row r="1056" customFormat="false" ht="15" hidden="false" customHeight="false" outlineLevel="0" collapsed="false">
      <c r="B1056" s="1" t="s">
        <v>293</v>
      </c>
      <c r="F1056" s="55" t="s">
        <v>292</v>
      </c>
      <c r="G1056" s="56" t="n">
        <v>2</v>
      </c>
      <c r="H1056" s="57" t="n">
        <f aca="false">G1056*8/$D$1051</f>
        <v>0.64</v>
      </c>
      <c r="I1056" s="28" t="n">
        <v>22.66</v>
      </c>
      <c r="J1056" s="28" t="n">
        <f aca="false">H1056*I1056</f>
        <v>14.5024</v>
      </c>
    </row>
    <row r="1057" customFormat="false" ht="15" hidden="false" customHeight="false" outlineLevel="0" collapsed="false">
      <c r="B1057" s="1" t="s">
        <v>294</v>
      </c>
      <c r="F1057" s="55" t="s">
        <v>292</v>
      </c>
      <c r="G1057" s="56" t="n">
        <v>8</v>
      </c>
      <c r="H1057" s="57" t="n">
        <f aca="false">G1057*8/$D$1051</f>
        <v>2.56</v>
      </c>
      <c r="I1057" s="28" t="n">
        <v>20.51</v>
      </c>
      <c r="J1057" s="28" t="n">
        <f aca="false">H1057*I1057</f>
        <v>52.5056</v>
      </c>
    </row>
    <row r="1058" customFormat="false" ht="15" hidden="false" customHeight="false" outlineLevel="0" collapsed="false">
      <c r="J1058" s="53" t="n">
        <f aca="false">SUM(J1054:J1057)</f>
        <v>77.38016</v>
      </c>
    </row>
    <row r="1059" customFormat="false" ht="15" hidden="false" customHeight="false" outlineLevel="0" collapsed="false">
      <c r="B1059" s="54" t="s">
        <v>295</v>
      </c>
    </row>
    <row r="1060" customFormat="false" ht="15" hidden="false" customHeight="false" outlineLevel="0" collapsed="false">
      <c r="B1060" s="1" t="s">
        <v>726</v>
      </c>
      <c r="E1060" s="1" t="s">
        <v>297</v>
      </c>
      <c r="H1060" s="57" t="n">
        <v>0.1</v>
      </c>
      <c r="I1060" s="28" t="n">
        <v>4.64</v>
      </c>
      <c r="J1060" s="28" t="n">
        <f aca="false">H1060*I1060</f>
        <v>0.464</v>
      </c>
    </row>
    <row r="1061" customFormat="false" ht="15" hidden="false" customHeight="false" outlineLevel="0" collapsed="false">
      <c r="B1061" s="1" t="s">
        <v>727</v>
      </c>
      <c r="E1061" s="1" t="s">
        <v>297</v>
      </c>
      <c r="H1061" s="57" t="n">
        <v>0.15</v>
      </c>
      <c r="I1061" s="1" t="n">
        <v>4.16</v>
      </c>
      <c r="J1061" s="28" t="n">
        <f aca="false">H1061*I1061</f>
        <v>0.624</v>
      </c>
    </row>
    <row r="1062" customFormat="false" ht="15" hidden="false" customHeight="false" outlineLevel="0" collapsed="false">
      <c r="B1062" s="1" t="s">
        <v>309</v>
      </c>
      <c r="E1062" s="1" t="s">
        <v>306</v>
      </c>
      <c r="H1062" s="57" t="n">
        <v>4.03</v>
      </c>
      <c r="I1062" s="28" t="n">
        <v>8.8</v>
      </c>
      <c r="J1062" s="28" t="n">
        <f aca="false">H1062*I1062</f>
        <v>35.464</v>
      </c>
    </row>
    <row r="1063" customFormat="false" ht="15" hidden="false" customHeight="false" outlineLevel="0" collapsed="false">
      <c r="J1063" s="53" t="n">
        <f aca="false">SUM(J1060:J1062)</f>
        <v>36.552</v>
      </c>
    </row>
    <row r="1064" customFormat="false" ht="15" hidden="false" customHeight="false" outlineLevel="0" collapsed="false">
      <c r="B1064" s="54" t="s">
        <v>318</v>
      </c>
    </row>
    <row r="1065" customFormat="false" ht="15" hidden="false" customHeight="false" outlineLevel="0" collapsed="false">
      <c r="B1065" s="1" t="s">
        <v>311</v>
      </c>
      <c r="F1065" s="55" t="s">
        <v>312</v>
      </c>
      <c r="H1065" s="57" t="n">
        <v>3</v>
      </c>
      <c r="I1065" s="28" t="n">
        <f aca="false">J1058</f>
        <v>77.38016</v>
      </c>
      <c r="J1065" s="28" t="n">
        <f aca="false">H1065%*I1065</f>
        <v>2.3214048</v>
      </c>
    </row>
    <row r="1066" customFormat="false" ht="15" hidden="false" customHeight="false" outlineLevel="0" collapsed="false">
      <c r="B1066" s="1" t="s">
        <v>728</v>
      </c>
      <c r="F1066" s="55" t="s">
        <v>338</v>
      </c>
      <c r="G1066" s="56" t="n">
        <v>1</v>
      </c>
      <c r="H1066" s="57" t="n">
        <f aca="false">G1066*8/$D$1051</f>
        <v>0.32</v>
      </c>
      <c r="I1066" s="28" t="n">
        <v>5.5</v>
      </c>
      <c r="J1066" s="28" t="n">
        <f aca="false">H1066*I1066</f>
        <v>1.76</v>
      </c>
    </row>
    <row r="1067" customFormat="false" ht="15" hidden="false" customHeight="false" outlineLevel="0" collapsed="false">
      <c r="A1067" s="60"/>
      <c r="B1067" s="60"/>
      <c r="C1067" s="60"/>
      <c r="D1067" s="60"/>
      <c r="E1067" s="60"/>
      <c r="F1067" s="60"/>
      <c r="G1067" s="60"/>
      <c r="H1067" s="60"/>
      <c r="I1067" s="60"/>
      <c r="J1067" s="61" t="n">
        <f aca="false">SUM(J1065:J1066)</f>
        <v>4.0814048</v>
      </c>
    </row>
    <row r="1068" customFormat="false" ht="15" hidden="false" customHeight="false" outlineLevel="0" collapsed="false">
      <c r="J1068" s="53"/>
    </row>
    <row r="1069" customFormat="false" ht="15" hidden="false" customHeight="false" outlineLevel="0" collapsed="false">
      <c r="A1069" s="14" t="s">
        <v>278</v>
      </c>
      <c r="B1069" s="14" t="str">
        <f aca="false">ESTRUCTURA!A85</f>
        <v>02.04.02.04</v>
      </c>
      <c r="C1069" s="14" t="s">
        <v>600</v>
      </c>
      <c r="D1069" s="14"/>
    </row>
    <row r="1070" customFormat="false" ht="15" hidden="false" customHeight="false" outlineLevel="0" collapsed="false">
      <c r="A1070" s="14" t="s">
        <v>279</v>
      </c>
      <c r="B1070" s="14" t="s">
        <v>417</v>
      </c>
      <c r="C1070" s="36" t="s">
        <v>281</v>
      </c>
      <c r="D1070" s="52" t="n">
        <v>1</v>
      </c>
      <c r="E1070" s="36" t="s">
        <v>282</v>
      </c>
      <c r="F1070" s="52" t="n">
        <f aca="false">D1070</f>
        <v>1</v>
      </c>
      <c r="G1070" s="14" t="s">
        <v>283</v>
      </c>
      <c r="I1070" s="36" t="s">
        <v>204</v>
      </c>
      <c r="J1070" s="53" t="n">
        <f aca="false">J1074</f>
        <v>358</v>
      </c>
    </row>
    <row r="1071" customFormat="false" ht="15" hidden="false" customHeight="false" outlineLevel="0" collapsed="false">
      <c r="A1071" s="14" t="s">
        <v>284</v>
      </c>
      <c r="B1071" s="14" t="s">
        <v>285</v>
      </c>
      <c r="F1071" s="36" t="s">
        <v>123</v>
      </c>
      <c r="G1071" s="36" t="s">
        <v>286</v>
      </c>
      <c r="H1071" s="36" t="s">
        <v>287</v>
      </c>
      <c r="I1071" s="36" t="s">
        <v>288</v>
      </c>
      <c r="J1071" s="36" t="s">
        <v>289</v>
      </c>
    </row>
    <row r="1072" customFormat="false" ht="15" hidden="false" customHeight="false" outlineLevel="0" collapsed="false">
      <c r="B1072" s="54" t="s">
        <v>290</v>
      </c>
    </row>
    <row r="1073" customFormat="false" ht="15" hidden="false" customHeight="false" outlineLevel="0" collapsed="false">
      <c r="B1073" s="1" t="s">
        <v>600</v>
      </c>
      <c r="H1073" s="57" t="n">
        <v>1</v>
      </c>
      <c r="I1073" s="28" t="n">
        <v>358</v>
      </c>
      <c r="J1073" s="28" t="n">
        <f aca="false">H1073*I1073</f>
        <v>358</v>
      </c>
    </row>
    <row r="1074" customFormat="false" ht="15" hidden="false" customHeight="false" outlineLevel="0" collapsed="false">
      <c r="A1074" s="60"/>
      <c r="B1074" s="60"/>
      <c r="C1074" s="60"/>
      <c r="D1074" s="60"/>
      <c r="E1074" s="60"/>
      <c r="F1074" s="62"/>
      <c r="G1074" s="60"/>
      <c r="H1074" s="64"/>
      <c r="I1074" s="65"/>
      <c r="J1074" s="61" t="n">
        <f aca="false">SUM(J1073)</f>
        <v>358</v>
      </c>
    </row>
    <row r="1076" customFormat="false" ht="15" hidden="false" customHeight="false" outlineLevel="0" collapsed="false">
      <c r="A1076" s="14" t="s">
        <v>278</v>
      </c>
      <c r="B1076" s="14" t="str">
        <f aca="false">ESTRUCTURA!A86</f>
        <v>02.04.02.05</v>
      </c>
      <c r="C1076" s="14" t="s">
        <v>732</v>
      </c>
      <c r="D1076" s="14"/>
      <c r="E1076" s="14"/>
      <c r="F1076" s="14"/>
      <c r="G1076" s="14"/>
      <c r="H1076" s="14"/>
      <c r="I1076" s="14"/>
    </row>
    <row r="1077" customFormat="false" ht="15" hidden="false" customHeight="false" outlineLevel="0" collapsed="false">
      <c r="A1077" s="14" t="s">
        <v>279</v>
      </c>
      <c r="B1077" s="14" t="s">
        <v>280</v>
      </c>
      <c r="C1077" s="36" t="s">
        <v>281</v>
      </c>
      <c r="D1077" s="52" t="n">
        <v>250</v>
      </c>
      <c r="E1077" s="36" t="s">
        <v>282</v>
      </c>
      <c r="F1077" s="52" t="n">
        <f aca="false">D1077</f>
        <v>250</v>
      </c>
      <c r="G1077" s="14" t="s">
        <v>283</v>
      </c>
      <c r="I1077" s="36" t="s">
        <v>134</v>
      </c>
      <c r="J1077" s="53" t="n">
        <f aca="false">J1081+J1084+J1087</f>
        <v>2.9418736</v>
      </c>
    </row>
    <row r="1078" customFormat="false" ht="15" hidden="false" customHeight="false" outlineLevel="0" collapsed="false">
      <c r="A1078" s="14" t="s">
        <v>284</v>
      </c>
      <c r="B1078" s="14" t="s">
        <v>285</v>
      </c>
      <c r="F1078" s="36" t="s">
        <v>123</v>
      </c>
      <c r="G1078" s="36" t="s">
        <v>286</v>
      </c>
      <c r="H1078" s="36" t="s">
        <v>287</v>
      </c>
      <c r="I1078" s="36" t="s">
        <v>288</v>
      </c>
      <c r="J1078" s="36" t="s">
        <v>289</v>
      </c>
    </row>
    <row r="1079" customFormat="false" ht="15" hidden="false" customHeight="false" outlineLevel="0" collapsed="false">
      <c r="B1079" s="54" t="s">
        <v>290</v>
      </c>
    </row>
    <row r="1080" customFormat="false" ht="15" hidden="false" customHeight="false" outlineLevel="0" collapsed="false">
      <c r="B1080" s="1" t="s">
        <v>293</v>
      </c>
      <c r="F1080" s="55" t="s">
        <v>292</v>
      </c>
      <c r="G1080" s="56" t="n">
        <v>1</v>
      </c>
      <c r="H1080" s="57" t="n">
        <f aca="false">G1080*8/$D$1077</f>
        <v>0.032</v>
      </c>
      <c r="I1080" s="28" t="n">
        <v>22.66</v>
      </c>
      <c r="J1080" s="28" t="n">
        <f aca="false">H1080*I1080</f>
        <v>0.72512</v>
      </c>
    </row>
    <row r="1081" customFormat="false" ht="15" hidden="false" customHeight="false" outlineLevel="0" collapsed="false">
      <c r="F1081" s="55"/>
      <c r="G1081" s="56"/>
      <c r="H1081" s="57"/>
      <c r="I1081" s="28"/>
      <c r="J1081" s="53" t="n">
        <f aca="false">SUM(J1080:J1080)</f>
        <v>0.72512</v>
      </c>
    </row>
    <row r="1082" customFormat="false" ht="15" hidden="false" customHeight="false" outlineLevel="0" collapsed="false">
      <c r="B1082" s="54" t="s">
        <v>295</v>
      </c>
    </row>
    <row r="1083" customFormat="false" ht="15" hidden="false" customHeight="false" outlineLevel="0" collapsed="false">
      <c r="B1083" s="1" t="s">
        <v>729</v>
      </c>
      <c r="F1083" s="55" t="s">
        <v>440</v>
      </c>
      <c r="H1083" s="57" t="n">
        <v>0.05</v>
      </c>
      <c r="I1083" s="28" t="n">
        <v>43.9</v>
      </c>
      <c r="J1083" s="28" t="n">
        <f aca="false">H1083*I1083</f>
        <v>2.195</v>
      </c>
    </row>
    <row r="1084" customFormat="false" ht="15" hidden="false" customHeight="false" outlineLevel="0" collapsed="false">
      <c r="J1084" s="53" t="n">
        <f aca="false">SUM(J1083)</f>
        <v>2.195</v>
      </c>
    </row>
    <row r="1085" customFormat="false" ht="15" hidden="false" customHeight="false" outlineLevel="0" collapsed="false">
      <c r="B1085" s="54" t="s">
        <v>318</v>
      </c>
    </row>
    <row r="1086" customFormat="false" ht="15" hidden="false" customHeight="false" outlineLevel="0" collapsed="false">
      <c r="B1086" s="1" t="s">
        <v>311</v>
      </c>
      <c r="F1086" s="55" t="s">
        <v>312</v>
      </c>
      <c r="H1086" s="57" t="n">
        <v>3</v>
      </c>
      <c r="I1086" s="28" t="n">
        <f aca="false">J1081</f>
        <v>0.72512</v>
      </c>
      <c r="J1086" s="28" t="n">
        <f aca="false">H1086%*I1086</f>
        <v>0.0217536</v>
      </c>
    </row>
    <row r="1087" customFormat="false" ht="15" hidden="false" customHeight="false" outlineLevel="0" collapsed="false">
      <c r="A1087" s="60"/>
      <c r="B1087" s="60"/>
      <c r="C1087" s="60"/>
      <c r="D1087" s="60"/>
      <c r="E1087" s="60"/>
      <c r="F1087" s="60"/>
      <c r="G1087" s="60"/>
      <c r="H1087" s="60"/>
      <c r="I1087" s="60"/>
      <c r="J1087" s="61" t="n">
        <f aca="false">SUM(J1086)</f>
        <v>0.0217536</v>
      </c>
    </row>
    <row r="1088" customFormat="false" ht="15" hidden="false" customHeight="false" outlineLevel="0" collapsed="false">
      <c r="H1088" s="57"/>
      <c r="I1088" s="28"/>
      <c r="J1088" s="28"/>
    </row>
    <row r="1089" customFormat="false" ht="15" hidden="false" customHeight="false" outlineLevel="0" collapsed="false">
      <c r="A1089" s="14" t="s">
        <v>278</v>
      </c>
      <c r="B1089" s="14" t="str">
        <f aca="false">ESTRUCTURA!A87</f>
        <v>02.04.02.06</v>
      </c>
      <c r="C1089" s="14" t="s">
        <v>604</v>
      </c>
      <c r="D1089" s="14"/>
      <c r="E1089" s="14"/>
      <c r="F1089" s="14"/>
      <c r="G1089" s="14"/>
      <c r="H1089" s="14"/>
      <c r="I1089" s="14"/>
    </row>
    <row r="1090" customFormat="false" ht="15" hidden="false" customHeight="false" outlineLevel="0" collapsed="false">
      <c r="A1090" s="14" t="s">
        <v>279</v>
      </c>
      <c r="B1090" s="14" t="s">
        <v>314</v>
      </c>
      <c r="C1090" s="36" t="s">
        <v>281</v>
      </c>
      <c r="D1090" s="52" t="n">
        <v>100</v>
      </c>
      <c r="E1090" s="36" t="s">
        <v>282</v>
      </c>
      <c r="F1090" s="52" t="n">
        <f aca="false">D1090</f>
        <v>100</v>
      </c>
      <c r="G1090" s="14" t="s">
        <v>283</v>
      </c>
      <c r="I1090" s="36" t="s">
        <v>145</v>
      </c>
      <c r="J1090" s="53" t="n">
        <f aca="false">J1095+J1099+J1102</f>
        <v>19.2386832</v>
      </c>
    </row>
    <row r="1091" customFormat="false" ht="15" hidden="false" customHeight="false" outlineLevel="0" collapsed="false">
      <c r="A1091" s="14" t="s">
        <v>284</v>
      </c>
      <c r="B1091" s="14" t="s">
        <v>285</v>
      </c>
      <c r="F1091" s="36" t="s">
        <v>123</v>
      </c>
      <c r="G1091" s="36" t="s">
        <v>286</v>
      </c>
      <c r="H1091" s="36" t="s">
        <v>287</v>
      </c>
      <c r="I1091" s="36" t="s">
        <v>288</v>
      </c>
      <c r="J1091" s="36" t="s">
        <v>289</v>
      </c>
    </row>
    <row r="1092" customFormat="false" ht="15" hidden="false" customHeight="false" outlineLevel="0" collapsed="false">
      <c r="B1092" s="54" t="s">
        <v>290</v>
      </c>
    </row>
    <row r="1093" customFormat="false" ht="15" hidden="false" customHeight="false" outlineLevel="0" collapsed="false">
      <c r="B1093" s="1" t="s">
        <v>651</v>
      </c>
      <c r="F1093" s="55" t="s">
        <v>292</v>
      </c>
      <c r="G1093" s="56" t="n">
        <v>1</v>
      </c>
      <c r="H1093" s="57" t="n">
        <f aca="false">G1093*8/$D$1090</f>
        <v>0.08</v>
      </c>
      <c r="I1093" s="28" t="n">
        <v>34.73</v>
      </c>
      <c r="J1093" s="28" t="n">
        <f aca="false">H1093*I1093</f>
        <v>2.7784</v>
      </c>
    </row>
    <row r="1094" customFormat="false" ht="15" hidden="false" customHeight="false" outlineLevel="0" collapsed="false">
      <c r="B1094" s="1" t="s">
        <v>291</v>
      </c>
      <c r="F1094" s="55" t="s">
        <v>292</v>
      </c>
      <c r="G1094" s="56" t="n">
        <v>0.2</v>
      </c>
      <c r="H1094" s="57" t="n">
        <f aca="false">G1094*8/$D$1090</f>
        <v>0.016</v>
      </c>
      <c r="I1094" s="28" t="n">
        <v>28.94</v>
      </c>
      <c r="J1094" s="28" t="n">
        <f aca="false">H1094*I1094</f>
        <v>0.46304</v>
      </c>
    </row>
    <row r="1095" customFormat="false" ht="15" hidden="false" customHeight="false" outlineLevel="0" collapsed="false">
      <c r="F1095" s="55"/>
      <c r="G1095" s="56"/>
      <c r="H1095" s="57"/>
      <c r="I1095" s="28"/>
      <c r="J1095" s="53" t="n">
        <f aca="false">SUM(J1093:J1094)</f>
        <v>3.24144</v>
      </c>
    </row>
    <row r="1096" customFormat="false" ht="15" hidden="false" customHeight="false" outlineLevel="0" collapsed="false">
      <c r="B1096" s="54" t="s">
        <v>295</v>
      </c>
      <c r="F1096" s="55"/>
    </row>
    <row r="1097" customFormat="false" ht="15" hidden="false" customHeight="false" outlineLevel="0" collapsed="false">
      <c r="B1097" s="1" t="s">
        <v>730</v>
      </c>
      <c r="F1097" s="55" t="s">
        <v>134</v>
      </c>
      <c r="H1097" s="57" t="n">
        <v>0.05</v>
      </c>
      <c r="I1097" s="28" t="n">
        <v>18</v>
      </c>
      <c r="J1097" s="28" t="n">
        <f aca="false">H1097*I1097</f>
        <v>0.9</v>
      </c>
    </row>
    <row r="1098" customFormat="false" ht="15" hidden="false" customHeight="false" outlineLevel="0" collapsed="false">
      <c r="B1098" s="1" t="s">
        <v>731</v>
      </c>
      <c r="F1098" s="55" t="s">
        <v>440</v>
      </c>
      <c r="H1098" s="57" t="n">
        <v>0.1</v>
      </c>
      <c r="I1098" s="28" t="n">
        <v>150</v>
      </c>
      <c r="J1098" s="28" t="n">
        <f aca="false">H1098*I1098</f>
        <v>15</v>
      </c>
    </row>
    <row r="1099" customFormat="false" ht="15" hidden="false" customHeight="false" outlineLevel="0" collapsed="false">
      <c r="J1099" s="53" t="n">
        <f aca="false">SUM(J1097:J1098)</f>
        <v>15.9</v>
      </c>
    </row>
    <row r="1100" customFormat="false" ht="15" hidden="false" customHeight="false" outlineLevel="0" collapsed="false">
      <c r="B1100" s="54" t="s">
        <v>318</v>
      </c>
    </row>
    <row r="1101" customFormat="false" ht="15" hidden="false" customHeight="false" outlineLevel="0" collapsed="false">
      <c r="B1101" s="1" t="s">
        <v>311</v>
      </c>
      <c r="F1101" s="55" t="s">
        <v>312</v>
      </c>
      <c r="H1101" s="57" t="n">
        <v>3</v>
      </c>
      <c r="I1101" s="28" t="n">
        <f aca="false">J1095</f>
        <v>3.24144</v>
      </c>
      <c r="J1101" s="28" t="n">
        <f aca="false">H1101%*I1101</f>
        <v>0.0972432</v>
      </c>
    </row>
    <row r="1102" customFormat="false" ht="15" hidden="false" customHeight="false" outlineLevel="0" collapsed="false">
      <c r="A1102" s="60"/>
      <c r="B1102" s="60"/>
      <c r="C1102" s="60"/>
      <c r="D1102" s="60"/>
      <c r="E1102" s="60"/>
      <c r="F1102" s="60"/>
      <c r="G1102" s="60"/>
      <c r="H1102" s="60"/>
      <c r="I1102" s="60"/>
      <c r="J1102" s="61" t="n">
        <f aca="false">SUM(J1101)</f>
        <v>0.0972432</v>
      </c>
    </row>
    <row r="1103" customFormat="false" ht="15" hidden="false" customHeight="false" outlineLevel="0" collapsed="false">
      <c r="J1103" s="53"/>
    </row>
    <row r="1104" customFormat="false" ht="15" hidden="false" customHeight="false" outlineLevel="0" collapsed="false">
      <c r="A1104" s="14" t="s">
        <v>278</v>
      </c>
      <c r="B1104" s="14" t="str">
        <f aca="false">ESTRUCTURA!A88</f>
        <v>02.04.02.07</v>
      </c>
      <c r="C1104" s="14" t="s">
        <v>606</v>
      </c>
      <c r="D1104" s="14"/>
      <c r="E1104" s="14"/>
      <c r="F1104" s="14"/>
      <c r="G1104" s="14"/>
      <c r="H1104" s="14"/>
      <c r="I1104" s="14"/>
    </row>
    <row r="1105" customFormat="false" ht="15" hidden="false" customHeight="false" outlineLevel="0" collapsed="false">
      <c r="A1105" s="14" t="s">
        <v>279</v>
      </c>
      <c r="B1105" s="14" t="s">
        <v>314</v>
      </c>
      <c r="C1105" s="36" t="s">
        <v>281</v>
      </c>
      <c r="D1105" s="52" t="n">
        <v>100</v>
      </c>
      <c r="E1105" s="36" t="s">
        <v>282</v>
      </c>
      <c r="F1105" s="52" t="n">
        <f aca="false">D1105</f>
        <v>100</v>
      </c>
      <c r="G1105" s="14" t="s">
        <v>283</v>
      </c>
      <c r="I1105" s="36" t="s">
        <v>145</v>
      </c>
      <c r="J1105" s="53" t="n">
        <f aca="false">J1110+J1114+J1117</f>
        <v>19.2386832</v>
      </c>
    </row>
    <row r="1106" customFormat="false" ht="15" hidden="false" customHeight="false" outlineLevel="0" collapsed="false">
      <c r="A1106" s="14" t="s">
        <v>284</v>
      </c>
      <c r="B1106" s="14" t="s">
        <v>285</v>
      </c>
      <c r="F1106" s="36" t="s">
        <v>123</v>
      </c>
      <c r="G1106" s="36" t="s">
        <v>286</v>
      </c>
      <c r="H1106" s="36" t="s">
        <v>287</v>
      </c>
      <c r="I1106" s="36" t="s">
        <v>288</v>
      </c>
      <c r="J1106" s="36" t="s">
        <v>289</v>
      </c>
    </row>
    <row r="1107" customFormat="false" ht="15" hidden="false" customHeight="false" outlineLevel="0" collapsed="false">
      <c r="B1107" s="54" t="s">
        <v>290</v>
      </c>
    </row>
    <row r="1108" customFormat="false" ht="15" hidden="false" customHeight="false" outlineLevel="0" collapsed="false">
      <c r="B1108" s="1" t="s">
        <v>651</v>
      </c>
      <c r="F1108" s="55" t="s">
        <v>292</v>
      </c>
      <c r="G1108" s="56" t="n">
        <v>1</v>
      </c>
      <c r="H1108" s="57" t="n">
        <f aca="false">G1108*8/$D$1105</f>
        <v>0.08</v>
      </c>
      <c r="I1108" s="28" t="n">
        <v>34.73</v>
      </c>
      <c r="J1108" s="28" t="n">
        <f aca="false">H1108*I1108</f>
        <v>2.7784</v>
      </c>
    </row>
    <row r="1109" customFormat="false" ht="15" hidden="false" customHeight="false" outlineLevel="0" collapsed="false">
      <c r="B1109" s="1" t="s">
        <v>291</v>
      </c>
      <c r="F1109" s="55" t="s">
        <v>292</v>
      </c>
      <c r="G1109" s="56" t="n">
        <v>0.2</v>
      </c>
      <c r="H1109" s="57" t="n">
        <f aca="false">G1109*8/$D$1105</f>
        <v>0.016</v>
      </c>
      <c r="I1109" s="28" t="n">
        <v>28.94</v>
      </c>
      <c r="J1109" s="28" t="n">
        <f aca="false">H1109*I1109</f>
        <v>0.46304</v>
      </c>
    </row>
    <row r="1110" customFormat="false" ht="15" hidden="false" customHeight="false" outlineLevel="0" collapsed="false">
      <c r="F1110" s="55"/>
      <c r="G1110" s="56"/>
      <c r="H1110" s="57"/>
      <c r="I1110" s="28"/>
      <c r="J1110" s="53" t="n">
        <f aca="false">SUM(J1108:J1109)</f>
        <v>3.24144</v>
      </c>
    </row>
    <row r="1111" customFormat="false" ht="15" hidden="false" customHeight="false" outlineLevel="0" collapsed="false">
      <c r="B1111" s="54" t="s">
        <v>295</v>
      </c>
      <c r="F1111" s="55"/>
    </row>
    <row r="1112" customFormat="false" ht="15" hidden="false" customHeight="false" outlineLevel="0" collapsed="false">
      <c r="B1112" s="1" t="s">
        <v>730</v>
      </c>
      <c r="F1112" s="55" t="s">
        <v>134</v>
      </c>
      <c r="H1112" s="57" t="n">
        <v>0.05</v>
      </c>
      <c r="I1112" s="28" t="n">
        <v>18</v>
      </c>
      <c r="J1112" s="28" t="n">
        <f aca="false">H1112*I1112</f>
        <v>0.9</v>
      </c>
    </row>
    <row r="1113" customFormat="false" ht="15" hidden="false" customHeight="false" outlineLevel="0" collapsed="false">
      <c r="B1113" s="1" t="s">
        <v>731</v>
      </c>
      <c r="F1113" s="55" t="s">
        <v>440</v>
      </c>
      <c r="H1113" s="57" t="n">
        <v>0.1</v>
      </c>
      <c r="I1113" s="28" t="n">
        <v>150</v>
      </c>
      <c r="J1113" s="28" t="n">
        <f aca="false">H1113*I1113</f>
        <v>15</v>
      </c>
    </row>
    <row r="1114" customFormat="false" ht="15" hidden="false" customHeight="false" outlineLevel="0" collapsed="false">
      <c r="J1114" s="53" t="n">
        <f aca="false">SUM(J1112:J1113)</f>
        <v>15.9</v>
      </c>
    </row>
    <row r="1115" customFormat="false" ht="15" hidden="false" customHeight="false" outlineLevel="0" collapsed="false">
      <c r="B1115" s="54" t="s">
        <v>318</v>
      </c>
    </row>
    <row r="1116" customFormat="false" ht="15" hidden="false" customHeight="false" outlineLevel="0" collapsed="false">
      <c r="B1116" s="1" t="s">
        <v>311</v>
      </c>
      <c r="F1116" s="55" t="s">
        <v>312</v>
      </c>
      <c r="H1116" s="57" t="n">
        <v>3</v>
      </c>
      <c r="I1116" s="28" t="n">
        <f aca="false">J1110</f>
        <v>3.24144</v>
      </c>
      <c r="J1116" s="28" t="n">
        <f aca="false">H1116%*I1116</f>
        <v>0.0972432</v>
      </c>
    </row>
    <row r="1117" customFormat="false" ht="15" hidden="false" customHeight="false" outlineLevel="0" collapsed="false">
      <c r="A1117" s="60"/>
      <c r="B1117" s="60"/>
      <c r="C1117" s="60"/>
      <c r="D1117" s="60"/>
      <c r="E1117" s="60"/>
      <c r="F1117" s="60"/>
      <c r="G1117" s="60"/>
      <c r="H1117" s="60"/>
      <c r="I1117" s="60"/>
      <c r="J1117" s="61" t="n">
        <f aca="false">SUM(J1116)</f>
        <v>0.0972432</v>
      </c>
    </row>
    <row r="1119" customFormat="false" ht="15" hidden="false" customHeight="false" outlineLevel="0" collapsed="false">
      <c r="A1119" s="14" t="s">
        <v>278</v>
      </c>
      <c r="B1119" s="14" t="str">
        <f aca="false">ESTRUCTURA!A89</f>
        <v>02.04.02.08</v>
      </c>
      <c r="C1119" s="14" t="s">
        <v>608</v>
      </c>
      <c r="D1119" s="14"/>
    </row>
    <row r="1120" customFormat="false" ht="15" hidden="false" customHeight="false" outlineLevel="0" collapsed="false">
      <c r="A1120" s="14" t="s">
        <v>279</v>
      </c>
      <c r="B1120" s="14" t="s">
        <v>314</v>
      </c>
      <c r="C1120" s="36" t="s">
        <v>281</v>
      </c>
      <c r="D1120" s="52" t="n">
        <v>1</v>
      </c>
      <c r="E1120" s="36" t="s">
        <v>282</v>
      </c>
      <c r="F1120" s="52" t="n">
        <f aca="false">D1120</f>
        <v>1</v>
      </c>
      <c r="G1120" s="14" t="s">
        <v>283</v>
      </c>
      <c r="I1120" s="36" t="s">
        <v>145</v>
      </c>
      <c r="J1120" s="53" t="n">
        <f aca="false">J1124</f>
        <v>616.64</v>
      </c>
    </row>
    <row r="1121" customFormat="false" ht="15" hidden="false" customHeight="false" outlineLevel="0" collapsed="false">
      <c r="A1121" s="14" t="s">
        <v>284</v>
      </c>
      <c r="B1121" s="14" t="s">
        <v>285</v>
      </c>
      <c r="F1121" s="36" t="s">
        <v>123</v>
      </c>
      <c r="G1121" s="36" t="s">
        <v>286</v>
      </c>
      <c r="H1121" s="36" t="s">
        <v>287</v>
      </c>
      <c r="I1121" s="36" t="s">
        <v>288</v>
      </c>
      <c r="J1121" s="36" t="s">
        <v>289</v>
      </c>
    </row>
    <row r="1122" customFormat="false" ht="15" hidden="false" customHeight="false" outlineLevel="0" collapsed="false">
      <c r="B1122" s="54" t="s">
        <v>290</v>
      </c>
    </row>
    <row r="1123" customFormat="false" ht="15" hidden="false" customHeight="false" outlineLevel="0" collapsed="false">
      <c r="B1123" s="1" t="s">
        <v>608</v>
      </c>
      <c r="H1123" s="57" t="n">
        <v>1</v>
      </c>
      <c r="I1123" s="28" t="n">
        <v>616.64</v>
      </c>
      <c r="J1123" s="28" t="n">
        <f aca="false">H1123*I1123</f>
        <v>616.64</v>
      </c>
    </row>
    <row r="1124" customFormat="false" ht="15" hidden="false" customHeight="false" outlineLevel="0" collapsed="false">
      <c r="A1124" s="60"/>
      <c r="B1124" s="60"/>
      <c r="C1124" s="60"/>
      <c r="D1124" s="60"/>
      <c r="E1124" s="60"/>
      <c r="F1124" s="62"/>
      <c r="G1124" s="60"/>
      <c r="H1124" s="64"/>
      <c r="I1124" s="65"/>
      <c r="J1124" s="61" t="n">
        <f aca="false">SUM(J1123)</f>
        <v>616.64</v>
      </c>
    </row>
    <row r="1125" customFormat="false" ht="15" hidden="false" customHeight="false" outlineLevel="0" collapsed="false">
      <c r="F1125" s="55"/>
      <c r="H1125" s="57"/>
      <c r="I1125" s="28"/>
      <c r="J1125" s="53"/>
    </row>
    <row r="1126" customFormat="false" ht="15" hidden="false" customHeight="false" outlineLevel="0" collapsed="false">
      <c r="A1126" s="14" t="s">
        <v>278</v>
      </c>
      <c r="B1126" s="14" t="str">
        <f aca="false">ESTRUCTURA!A91</f>
        <v>02.04.03.01</v>
      </c>
      <c r="C1126" s="14" t="s">
        <v>621</v>
      </c>
      <c r="D1126" s="14"/>
      <c r="E1126" s="14"/>
      <c r="F1126" s="14"/>
      <c r="G1126" s="14"/>
      <c r="H1126" s="14"/>
      <c r="I1126" s="14"/>
    </row>
    <row r="1127" customFormat="false" ht="15" hidden="false" customHeight="false" outlineLevel="0" collapsed="false">
      <c r="A1127" s="14" t="s">
        <v>279</v>
      </c>
      <c r="B1127" s="14" t="s">
        <v>417</v>
      </c>
      <c r="C1127" s="36" t="s">
        <v>281</v>
      </c>
      <c r="D1127" s="52" t="n">
        <v>25</v>
      </c>
      <c r="E1127" s="36" t="s">
        <v>282</v>
      </c>
      <c r="F1127" s="52" t="n">
        <f aca="false">D1127</f>
        <v>25</v>
      </c>
      <c r="G1127" s="14" t="s">
        <v>283</v>
      </c>
      <c r="I1127" s="36" t="s">
        <v>204</v>
      </c>
      <c r="J1127" s="53" t="n">
        <f aca="false">J1134+J1139+J1143</f>
        <v>447.9006688</v>
      </c>
    </row>
    <row r="1128" customFormat="false" ht="15" hidden="false" customHeight="false" outlineLevel="0" collapsed="false">
      <c r="A1128" s="14" t="s">
        <v>284</v>
      </c>
      <c r="B1128" s="14" t="s">
        <v>285</v>
      </c>
      <c r="F1128" s="36" t="s">
        <v>123</v>
      </c>
      <c r="G1128" s="36" t="s">
        <v>286</v>
      </c>
      <c r="H1128" s="36" t="s">
        <v>287</v>
      </c>
      <c r="I1128" s="36" t="s">
        <v>288</v>
      </c>
      <c r="J1128" s="36" t="s">
        <v>289</v>
      </c>
    </row>
    <row r="1129" customFormat="false" ht="15" hidden="false" customHeight="false" outlineLevel="0" collapsed="false">
      <c r="B1129" s="54" t="s">
        <v>290</v>
      </c>
    </row>
    <row r="1130" customFormat="false" ht="15" hidden="false" customHeight="false" outlineLevel="0" collapsed="false">
      <c r="B1130" s="1" t="s">
        <v>651</v>
      </c>
      <c r="F1130" s="55" t="s">
        <v>292</v>
      </c>
      <c r="G1130" s="56" t="n">
        <v>0.1</v>
      </c>
      <c r="H1130" s="57" t="n">
        <f aca="false">G1130*8/$D$1127</f>
        <v>0.032</v>
      </c>
      <c r="I1130" s="28" t="n">
        <v>34.73</v>
      </c>
      <c r="J1130" s="28" t="n">
        <f aca="false">H1130*I1130</f>
        <v>1.11136</v>
      </c>
    </row>
    <row r="1131" customFormat="false" ht="15" hidden="false" customHeight="false" outlineLevel="0" collapsed="false">
      <c r="B1131" s="1" t="s">
        <v>291</v>
      </c>
      <c r="F1131" s="55" t="s">
        <v>292</v>
      </c>
      <c r="G1131" s="56" t="n">
        <v>2</v>
      </c>
      <c r="H1131" s="57" t="n">
        <f aca="false">G1131*8/$D$1127</f>
        <v>0.64</v>
      </c>
      <c r="I1131" s="28" t="n">
        <v>28.94</v>
      </c>
      <c r="J1131" s="28" t="n">
        <f aca="false">H1131*I1131</f>
        <v>18.5216</v>
      </c>
    </row>
    <row r="1132" customFormat="false" ht="15" hidden="false" customHeight="false" outlineLevel="0" collapsed="false">
      <c r="B1132" s="1" t="s">
        <v>293</v>
      </c>
      <c r="F1132" s="55" t="s">
        <v>292</v>
      </c>
      <c r="G1132" s="56" t="n">
        <v>1</v>
      </c>
      <c r="H1132" s="57" t="n">
        <f aca="false">G1132*8/$D$1127</f>
        <v>0.32</v>
      </c>
      <c r="I1132" s="28" t="n">
        <v>22.66</v>
      </c>
      <c r="J1132" s="28" t="n">
        <f aca="false">H1132*I1132</f>
        <v>7.2512</v>
      </c>
    </row>
    <row r="1133" customFormat="false" ht="15" hidden="false" customHeight="false" outlineLevel="0" collapsed="false">
      <c r="B1133" s="1" t="s">
        <v>294</v>
      </c>
      <c r="F1133" s="55" t="s">
        <v>292</v>
      </c>
      <c r="G1133" s="56" t="n">
        <v>4</v>
      </c>
      <c r="H1133" s="57" t="n">
        <f aca="false">G1133*8/$D$1127</f>
        <v>1.28</v>
      </c>
      <c r="I1133" s="28" t="n">
        <v>20.51</v>
      </c>
      <c r="J1133" s="28" t="n">
        <f aca="false">H1133*I1133</f>
        <v>26.2528</v>
      </c>
    </row>
    <row r="1134" customFormat="false" ht="15" hidden="false" customHeight="false" outlineLevel="0" collapsed="false">
      <c r="J1134" s="53" t="n">
        <f aca="false">SUM(J1130:J1133)</f>
        <v>53.13696</v>
      </c>
    </row>
    <row r="1135" customFormat="false" ht="15" hidden="false" customHeight="false" outlineLevel="0" collapsed="false">
      <c r="B1135" s="54" t="s">
        <v>295</v>
      </c>
    </row>
    <row r="1136" customFormat="false" ht="15" hidden="false" customHeight="false" outlineLevel="0" collapsed="false">
      <c r="B1136" s="1" t="s">
        <v>722</v>
      </c>
      <c r="E1136" s="1" t="s">
        <v>297</v>
      </c>
      <c r="H1136" s="57" t="n">
        <v>0.1</v>
      </c>
      <c r="I1136" s="28" t="n">
        <v>24.52</v>
      </c>
      <c r="J1136" s="28" t="n">
        <f aca="false">H1136*I1136</f>
        <v>2.452</v>
      </c>
    </row>
    <row r="1137" customFormat="false" ht="15" hidden="false" customHeight="false" outlineLevel="0" collapsed="false">
      <c r="B1137" s="1" t="s">
        <v>733</v>
      </c>
      <c r="E1137" s="1" t="s">
        <v>297</v>
      </c>
      <c r="H1137" s="57" t="n">
        <v>1.05</v>
      </c>
      <c r="I1137" s="28" t="n">
        <v>340</v>
      </c>
      <c r="J1137" s="28" t="n">
        <f aca="false">H1137*I1137</f>
        <v>357</v>
      </c>
    </row>
    <row r="1138" customFormat="false" ht="15" hidden="false" customHeight="false" outlineLevel="0" collapsed="false">
      <c r="B1138" s="1" t="s">
        <v>724</v>
      </c>
      <c r="E1138" s="1" t="s">
        <v>306</v>
      </c>
      <c r="H1138" s="57" t="n">
        <v>1.05</v>
      </c>
      <c r="I1138" s="28" t="n">
        <v>30</v>
      </c>
      <c r="J1138" s="28" t="n">
        <f aca="false">H1138*I1138</f>
        <v>31.5</v>
      </c>
    </row>
    <row r="1139" customFormat="false" ht="15" hidden="false" customHeight="false" outlineLevel="0" collapsed="false">
      <c r="J1139" s="53" t="n">
        <f aca="false">SUM(J1136:J1138)</f>
        <v>390.952</v>
      </c>
    </row>
    <row r="1140" customFormat="false" ht="15" hidden="false" customHeight="false" outlineLevel="0" collapsed="false">
      <c r="B1140" s="54" t="s">
        <v>318</v>
      </c>
    </row>
    <row r="1141" customFormat="false" ht="15" hidden="false" customHeight="false" outlineLevel="0" collapsed="false">
      <c r="B1141" s="1" t="s">
        <v>311</v>
      </c>
      <c r="F1141" s="55" t="s">
        <v>312</v>
      </c>
      <c r="H1141" s="57" t="n">
        <v>3</v>
      </c>
      <c r="I1141" s="28" t="n">
        <f aca="false">J1134</f>
        <v>53.13696</v>
      </c>
      <c r="J1141" s="28" t="n">
        <f aca="false">H1141%*I1141</f>
        <v>1.5941088</v>
      </c>
    </row>
    <row r="1142" customFormat="false" ht="15" hidden="false" customHeight="false" outlineLevel="0" collapsed="false">
      <c r="B1142" s="1" t="s">
        <v>725</v>
      </c>
      <c r="F1142" s="55" t="s">
        <v>338</v>
      </c>
      <c r="G1142" s="56" t="n">
        <v>1</v>
      </c>
      <c r="H1142" s="57" t="n">
        <f aca="false">G1142*8/$D$1127</f>
        <v>0.32</v>
      </c>
      <c r="I1142" s="28" t="n">
        <v>6.93</v>
      </c>
      <c r="J1142" s="28" t="n">
        <f aca="false">H1142*I1142</f>
        <v>2.2176</v>
      </c>
    </row>
    <row r="1143" customFormat="false" ht="15" hidden="false" customHeight="false" outlineLevel="0" collapsed="false">
      <c r="A1143" s="60"/>
      <c r="B1143" s="60"/>
      <c r="C1143" s="60"/>
      <c r="D1143" s="60"/>
      <c r="E1143" s="60"/>
      <c r="F1143" s="60"/>
      <c r="G1143" s="60"/>
      <c r="H1143" s="60"/>
      <c r="I1143" s="60"/>
      <c r="J1143" s="61" t="n">
        <f aca="false">SUM(J1141:J1142)</f>
        <v>3.8117088</v>
      </c>
    </row>
    <row r="1144" customFormat="false" ht="15" hidden="false" customHeight="false" outlineLevel="0" collapsed="false">
      <c r="F1144" s="55"/>
      <c r="H1144" s="57"/>
      <c r="I1144" s="28"/>
      <c r="J1144" s="28"/>
    </row>
    <row r="1145" customFormat="false" ht="15" hidden="false" customHeight="false" outlineLevel="0" collapsed="false">
      <c r="A1145" s="14" t="s">
        <v>278</v>
      </c>
      <c r="B1145" s="14" t="str">
        <f aca="false">ESTRUCTURA!A92</f>
        <v>02.04.03.02</v>
      </c>
      <c r="C1145" s="14" t="s">
        <v>623</v>
      </c>
      <c r="D1145" s="14"/>
      <c r="E1145" s="14"/>
      <c r="F1145" s="14"/>
      <c r="G1145" s="14"/>
      <c r="H1145" s="14"/>
      <c r="I1145" s="14"/>
    </row>
    <row r="1146" customFormat="false" ht="15" hidden="false" customHeight="false" outlineLevel="0" collapsed="false">
      <c r="A1146" s="14" t="s">
        <v>279</v>
      </c>
      <c r="B1146" s="14" t="s">
        <v>417</v>
      </c>
      <c r="C1146" s="36" t="s">
        <v>281</v>
      </c>
      <c r="D1146" s="52" t="n">
        <v>25</v>
      </c>
      <c r="E1146" s="36" t="s">
        <v>282</v>
      </c>
      <c r="F1146" s="52" t="n">
        <f aca="false">D1146</f>
        <v>25</v>
      </c>
      <c r="G1146" s="14" t="s">
        <v>283</v>
      </c>
      <c r="I1146" s="36" t="s">
        <v>204</v>
      </c>
      <c r="J1146" s="53" t="n">
        <f aca="false">J1153+J1158+J1162</f>
        <v>447.9006688</v>
      </c>
    </row>
    <row r="1147" customFormat="false" ht="15" hidden="false" customHeight="false" outlineLevel="0" collapsed="false">
      <c r="A1147" s="14" t="s">
        <v>284</v>
      </c>
      <c r="B1147" s="14" t="s">
        <v>285</v>
      </c>
      <c r="F1147" s="36" t="s">
        <v>123</v>
      </c>
      <c r="G1147" s="36" t="s">
        <v>286</v>
      </c>
      <c r="H1147" s="36" t="s">
        <v>287</v>
      </c>
      <c r="I1147" s="36" t="s">
        <v>288</v>
      </c>
      <c r="J1147" s="36" t="s">
        <v>289</v>
      </c>
    </row>
    <row r="1148" customFormat="false" ht="15" hidden="false" customHeight="false" outlineLevel="0" collapsed="false">
      <c r="B1148" s="54" t="s">
        <v>290</v>
      </c>
    </row>
    <row r="1149" customFormat="false" ht="15" hidden="false" customHeight="false" outlineLevel="0" collapsed="false">
      <c r="B1149" s="1" t="s">
        <v>651</v>
      </c>
      <c r="F1149" s="55" t="s">
        <v>292</v>
      </c>
      <c r="G1149" s="56" t="n">
        <v>0.1</v>
      </c>
      <c r="H1149" s="57" t="n">
        <f aca="false">G1149*8/$D$1146</f>
        <v>0.032</v>
      </c>
      <c r="I1149" s="28" t="n">
        <v>34.73</v>
      </c>
      <c r="J1149" s="28" t="n">
        <f aca="false">H1149*I1149</f>
        <v>1.11136</v>
      </c>
    </row>
    <row r="1150" customFormat="false" ht="15" hidden="false" customHeight="false" outlineLevel="0" collapsed="false">
      <c r="B1150" s="1" t="s">
        <v>291</v>
      </c>
      <c r="F1150" s="55" t="s">
        <v>292</v>
      </c>
      <c r="G1150" s="56" t="n">
        <v>2</v>
      </c>
      <c r="H1150" s="57" t="n">
        <f aca="false">G1150*8/$D$1146</f>
        <v>0.64</v>
      </c>
      <c r="I1150" s="28" t="n">
        <v>28.94</v>
      </c>
      <c r="J1150" s="28" t="n">
        <f aca="false">H1150*I1150</f>
        <v>18.5216</v>
      </c>
    </row>
    <row r="1151" customFormat="false" ht="15" hidden="false" customHeight="false" outlineLevel="0" collapsed="false">
      <c r="B1151" s="1" t="s">
        <v>293</v>
      </c>
      <c r="F1151" s="55" t="s">
        <v>292</v>
      </c>
      <c r="G1151" s="56" t="n">
        <v>1</v>
      </c>
      <c r="H1151" s="57" t="n">
        <f aca="false">G1151*8/$D$1146</f>
        <v>0.32</v>
      </c>
      <c r="I1151" s="28" t="n">
        <v>22.66</v>
      </c>
      <c r="J1151" s="28" t="n">
        <f aca="false">H1151*I1151</f>
        <v>7.2512</v>
      </c>
    </row>
    <row r="1152" customFormat="false" ht="15" hidden="false" customHeight="false" outlineLevel="0" collapsed="false">
      <c r="B1152" s="1" t="s">
        <v>294</v>
      </c>
      <c r="F1152" s="55" t="s">
        <v>292</v>
      </c>
      <c r="G1152" s="56" t="n">
        <v>4</v>
      </c>
      <c r="H1152" s="57" t="n">
        <f aca="false">G1152*8/$D$1146</f>
        <v>1.28</v>
      </c>
      <c r="I1152" s="28" t="n">
        <v>20.51</v>
      </c>
      <c r="J1152" s="28" t="n">
        <f aca="false">H1152*I1152</f>
        <v>26.2528</v>
      </c>
    </row>
    <row r="1153" customFormat="false" ht="15" hidden="false" customHeight="false" outlineLevel="0" collapsed="false">
      <c r="J1153" s="53" t="n">
        <f aca="false">SUM(J1149:J1152)</f>
        <v>53.13696</v>
      </c>
    </row>
    <row r="1154" customFormat="false" ht="15" hidden="false" customHeight="false" outlineLevel="0" collapsed="false">
      <c r="B1154" s="54" t="s">
        <v>295</v>
      </c>
      <c r="F1154" s="55"/>
    </row>
    <row r="1155" customFormat="false" ht="15" hidden="false" customHeight="false" outlineLevel="0" collapsed="false">
      <c r="B1155" s="1" t="s">
        <v>722</v>
      </c>
      <c r="F1155" s="55" t="s">
        <v>297</v>
      </c>
      <c r="H1155" s="57" t="n">
        <v>0.1</v>
      </c>
      <c r="I1155" s="28" t="n">
        <v>24.52</v>
      </c>
      <c r="J1155" s="28" t="n">
        <f aca="false">H1155*I1155</f>
        <v>2.452</v>
      </c>
    </row>
    <row r="1156" customFormat="false" ht="15" hidden="false" customHeight="false" outlineLevel="0" collapsed="false">
      <c r="B1156" s="1" t="s">
        <v>733</v>
      </c>
      <c r="F1156" s="55" t="s">
        <v>297</v>
      </c>
      <c r="H1156" s="57" t="n">
        <v>1.05</v>
      </c>
      <c r="I1156" s="28" t="n">
        <v>340</v>
      </c>
      <c r="J1156" s="28" t="n">
        <f aca="false">H1156*I1156</f>
        <v>357</v>
      </c>
    </row>
    <row r="1157" customFormat="false" ht="15" hidden="false" customHeight="false" outlineLevel="0" collapsed="false">
      <c r="B1157" s="1" t="s">
        <v>724</v>
      </c>
      <c r="F1157" s="55" t="s">
        <v>306</v>
      </c>
      <c r="H1157" s="57" t="n">
        <v>1.05</v>
      </c>
      <c r="I1157" s="28" t="n">
        <v>30</v>
      </c>
      <c r="J1157" s="28" t="n">
        <f aca="false">H1157*I1157</f>
        <v>31.5</v>
      </c>
    </row>
    <row r="1158" customFormat="false" ht="15" hidden="false" customHeight="false" outlineLevel="0" collapsed="false">
      <c r="J1158" s="53" t="n">
        <f aca="false">SUM(J1155:J1157)</f>
        <v>390.952</v>
      </c>
    </row>
    <row r="1159" customFormat="false" ht="15" hidden="false" customHeight="false" outlineLevel="0" collapsed="false">
      <c r="B1159" s="54" t="s">
        <v>318</v>
      </c>
    </row>
    <row r="1160" customFormat="false" ht="15" hidden="false" customHeight="false" outlineLevel="0" collapsed="false">
      <c r="B1160" s="1" t="s">
        <v>311</v>
      </c>
      <c r="F1160" s="55" t="s">
        <v>312</v>
      </c>
      <c r="H1160" s="57" t="n">
        <v>3</v>
      </c>
      <c r="I1160" s="28" t="n">
        <f aca="false">J1153</f>
        <v>53.13696</v>
      </c>
      <c r="J1160" s="28" t="n">
        <f aca="false">H1160%*I1160</f>
        <v>1.5941088</v>
      </c>
    </row>
    <row r="1161" customFormat="false" ht="15" hidden="false" customHeight="false" outlineLevel="0" collapsed="false">
      <c r="B1161" s="1" t="s">
        <v>725</v>
      </c>
      <c r="F1161" s="55" t="s">
        <v>338</v>
      </c>
      <c r="G1161" s="56" t="n">
        <v>1</v>
      </c>
      <c r="H1161" s="57" t="n">
        <f aca="false">G1161*8/$D$1146</f>
        <v>0.32</v>
      </c>
      <c r="I1161" s="28" t="n">
        <v>6.93</v>
      </c>
      <c r="J1161" s="28" t="n">
        <f aca="false">H1161*I1161</f>
        <v>2.2176</v>
      </c>
    </row>
    <row r="1162" customFormat="false" ht="15" hidden="false" customHeight="false" outlineLevel="0" collapsed="false">
      <c r="A1162" s="60"/>
      <c r="B1162" s="60"/>
      <c r="C1162" s="60"/>
      <c r="D1162" s="60"/>
      <c r="E1162" s="60"/>
      <c r="F1162" s="60"/>
      <c r="G1162" s="60"/>
      <c r="H1162" s="60"/>
      <c r="I1162" s="60"/>
      <c r="J1162" s="61" t="n">
        <f aca="false">SUM(J1160:J1161)</f>
        <v>3.8117088</v>
      </c>
    </row>
    <row r="1163" customFormat="false" ht="15" hidden="false" customHeight="false" outlineLevel="0" collapsed="false">
      <c r="J1163" s="53"/>
    </row>
    <row r="1164" customFormat="false" ht="15" hidden="false" customHeight="false" outlineLevel="0" collapsed="false">
      <c r="A1164" s="14" t="s">
        <v>278</v>
      </c>
      <c r="B1164" s="14" t="str">
        <f aca="false">ESTRUCTURA!A93</f>
        <v>02.04.03.03</v>
      </c>
      <c r="C1164" s="14" t="s">
        <v>598</v>
      </c>
      <c r="D1164" s="14"/>
      <c r="E1164" s="14"/>
      <c r="F1164" s="14"/>
      <c r="G1164" s="14"/>
      <c r="H1164" s="14"/>
      <c r="I1164" s="14"/>
    </row>
    <row r="1165" customFormat="false" ht="15" hidden="false" customHeight="false" outlineLevel="0" collapsed="false">
      <c r="A1165" s="14" t="s">
        <v>279</v>
      </c>
      <c r="B1165" s="14" t="s">
        <v>280</v>
      </c>
      <c r="C1165" s="36" t="s">
        <v>281</v>
      </c>
      <c r="D1165" s="52" t="n">
        <v>25</v>
      </c>
      <c r="E1165" s="36" t="s">
        <v>282</v>
      </c>
      <c r="F1165" s="52" t="n">
        <f aca="false">D1165</f>
        <v>25</v>
      </c>
      <c r="G1165" s="14" t="s">
        <v>283</v>
      </c>
      <c r="I1165" s="36" t="s">
        <v>134</v>
      </c>
      <c r="J1165" s="53" t="n">
        <f aca="false">J1172+J1177+J1181</f>
        <v>118.0135648</v>
      </c>
    </row>
    <row r="1166" customFormat="false" ht="15" hidden="false" customHeight="false" outlineLevel="0" collapsed="false">
      <c r="A1166" s="14" t="s">
        <v>284</v>
      </c>
      <c r="B1166" s="14" t="s">
        <v>285</v>
      </c>
      <c r="F1166" s="36" t="s">
        <v>123</v>
      </c>
      <c r="G1166" s="36" t="s">
        <v>286</v>
      </c>
      <c r="H1166" s="36" t="s">
        <v>287</v>
      </c>
      <c r="I1166" s="36" t="s">
        <v>288</v>
      </c>
      <c r="J1166" s="36" t="s">
        <v>289</v>
      </c>
    </row>
    <row r="1167" customFormat="false" ht="15" hidden="false" customHeight="false" outlineLevel="0" collapsed="false">
      <c r="B1167" s="54" t="s">
        <v>290</v>
      </c>
    </row>
    <row r="1168" customFormat="false" ht="15" hidden="false" customHeight="false" outlineLevel="0" collapsed="false">
      <c r="B1168" s="1" t="s">
        <v>651</v>
      </c>
      <c r="F1168" s="55" t="s">
        <v>292</v>
      </c>
      <c r="G1168" s="56" t="n">
        <v>0.1</v>
      </c>
      <c r="H1168" s="57" t="n">
        <f aca="false">G1168*8/$D$1165</f>
        <v>0.032</v>
      </c>
      <c r="I1168" s="28" t="n">
        <v>34.73</v>
      </c>
      <c r="J1168" s="28" t="n">
        <f aca="false">H1168*I1168</f>
        <v>1.11136</v>
      </c>
    </row>
    <row r="1169" customFormat="false" ht="15" hidden="false" customHeight="false" outlineLevel="0" collapsed="false">
      <c r="B1169" s="1" t="s">
        <v>291</v>
      </c>
      <c r="F1169" s="55" t="s">
        <v>292</v>
      </c>
      <c r="G1169" s="56" t="n">
        <v>1</v>
      </c>
      <c r="H1169" s="57" t="n">
        <f aca="false">G1169*8/$D$1165</f>
        <v>0.32</v>
      </c>
      <c r="I1169" s="28" t="n">
        <v>28.94</v>
      </c>
      <c r="J1169" s="28" t="n">
        <f aca="false">H1169*I1169</f>
        <v>9.2608</v>
      </c>
    </row>
    <row r="1170" customFormat="false" ht="15" hidden="false" customHeight="false" outlineLevel="0" collapsed="false">
      <c r="B1170" s="1" t="s">
        <v>293</v>
      </c>
      <c r="F1170" s="55" t="s">
        <v>292</v>
      </c>
      <c r="G1170" s="56" t="n">
        <v>2</v>
      </c>
      <c r="H1170" s="57" t="n">
        <f aca="false">G1170*8/$D$1165</f>
        <v>0.64</v>
      </c>
      <c r="I1170" s="28" t="n">
        <v>22.66</v>
      </c>
      <c r="J1170" s="28" t="n">
        <f aca="false">H1170*I1170</f>
        <v>14.5024</v>
      </c>
    </row>
    <row r="1171" customFormat="false" ht="15" hidden="false" customHeight="false" outlineLevel="0" collapsed="false">
      <c r="B1171" s="1" t="s">
        <v>294</v>
      </c>
      <c r="F1171" s="55" t="s">
        <v>292</v>
      </c>
      <c r="G1171" s="56" t="n">
        <v>8</v>
      </c>
      <c r="H1171" s="57" t="n">
        <f aca="false">G1171*8/$D$1165</f>
        <v>2.56</v>
      </c>
      <c r="I1171" s="28" t="n">
        <v>20.51</v>
      </c>
      <c r="J1171" s="28" t="n">
        <f aca="false">H1171*I1171</f>
        <v>52.5056</v>
      </c>
    </row>
    <row r="1172" customFormat="false" ht="15" hidden="false" customHeight="false" outlineLevel="0" collapsed="false">
      <c r="J1172" s="53" t="n">
        <f aca="false">SUM(J1168:J1171)</f>
        <v>77.38016</v>
      </c>
    </row>
    <row r="1173" customFormat="false" ht="15" hidden="false" customHeight="false" outlineLevel="0" collapsed="false">
      <c r="B1173" s="54" t="s">
        <v>295</v>
      </c>
      <c r="F1173" s="55"/>
    </row>
    <row r="1174" customFormat="false" ht="15" hidden="false" customHeight="false" outlineLevel="0" collapsed="false">
      <c r="B1174" s="1" t="s">
        <v>726</v>
      </c>
      <c r="F1174" s="55" t="s">
        <v>297</v>
      </c>
      <c r="H1174" s="57" t="n">
        <v>0.1</v>
      </c>
      <c r="I1174" s="28" t="n">
        <v>4.64</v>
      </c>
      <c r="J1174" s="28" t="n">
        <f aca="false">H1174*I1174</f>
        <v>0.464</v>
      </c>
    </row>
    <row r="1175" customFormat="false" ht="15" hidden="false" customHeight="false" outlineLevel="0" collapsed="false">
      <c r="B1175" s="1" t="s">
        <v>727</v>
      </c>
      <c r="F1175" s="55" t="s">
        <v>297</v>
      </c>
      <c r="H1175" s="57" t="n">
        <v>0.15</v>
      </c>
      <c r="I1175" s="1" t="n">
        <v>4.16</v>
      </c>
      <c r="J1175" s="28" t="n">
        <f aca="false">H1175*I1175</f>
        <v>0.624</v>
      </c>
    </row>
    <row r="1176" customFormat="false" ht="15" hidden="false" customHeight="false" outlineLevel="0" collapsed="false">
      <c r="B1176" s="1" t="s">
        <v>309</v>
      </c>
      <c r="F1176" s="55" t="s">
        <v>306</v>
      </c>
      <c r="H1176" s="57" t="n">
        <v>4.03</v>
      </c>
      <c r="I1176" s="28" t="n">
        <v>8.8</v>
      </c>
      <c r="J1176" s="28" t="n">
        <f aca="false">H1176*I1176</f>
        <v>35.464</v>
      </c>
    </row>
    <row r="1177" customFormat="false" ht="15" hidden="false" customHeight="false" outlineLevel="0" collapsed="false">
      <c r="J1177" s="53" t="n">
        <f aca="false">SUM(J1174:J1176)</f>
        <v>36.552</v>
      </c>
    </row>
    <row r="1178" customFormat="false" ht="15" hidden="false" customHeight="false" outlineLevel="0" collapsed="false">
      <c r="B1178" s="54" t="s">
        <v>318</v>
      </c>
    </row>
    <row r="1179" customFormat="false" ht="15" hidden="false" customHeight="false" outlineLevel="0" collapsed="false">
      <c r="B1179" s="1" t="s">
        <v>311</v>
      </c>
      <c r="F1179" s="55" t="s">
        <v>312</v>
      </c>
      <c r="H1179" s="57" t="n">
        <v>3</v>
      </c>
      <c r="I1179" s="28" t="n">
        <f aca="false">J1172</f>
        <v>77.38016</v>
      </c>
      <c r="J1179" s="28" t="n">
        <f aca="false">H1179%*I1179</f>
        <v>2.3214048</v>
      </c>
    </row>
    <row r="1180" customFormat="false" ht="15" hidden="false" customHeight="false" outlineLevel="0" collapsed="false">
      <c r="B1180" s="1" t="s">
        <v>728</v>
      </c>
      <c r="F1180" s="55" t="s">
        <v>338</v>
      </c>
      <c r="G1180" s="56" t="n">
        <v>1</v>
      </c>
      <c r="H1180" s="57" t="n">
        <f aca="false">G1180*8/$D$1165</f>
        <v>0.32</v>
      </c>
      <c r="I1180" s="28" t="n">
        <v>5.5</v>
      </c>
      <c r="J1180" s="28" t="n">
        <f aca="false">H1180*I1180</f>
        <v>1.76</v>
      </c>
    </row>
    <row r="1181" customFormat="false" ht="15" hidden="false" customHeight="false" outlineLevel="0" collapsed="false">
      <c r="A1181" s="60"/>
      <c r="B1181" s="60"/>
      <c r="C1181" s="60"/>
      <c r="D1181" s="60"/>
      <c r="E1181" s="60"/>
      <c r="F1181" s="60"/>
      <c r="G1181" s="60"/>
      <c r="H1181" s="60"/>
      <c r="I1181" s="60"/>
      <c r="J1181" s="61" t="n">
        <f aca="false">SUM(J1179:J1180)</f>
        <v>4.0814048</v>
      </c>
    </row>
    <row r="1182" customFormat="false" ht="15" hidden="false" customHeight="false" outlineLevel="0" collapsed="false">
      <c r="J1182" s="53"/>
    </row>
    <row r="1183" customFormat="false" ht="15" hidden="false" customHeight="false" outlineLevel="0" collapsed="false">
      <c r="A1183" s="14" t="s">
        <v>278</v>
      </c>
      <c r="B1183" s="82" t="str">
        <f aca="false">ESTRUCTURA!A94</f>
        <v>02.04.03.04</v>
      </c>
      <c r="C1183" s="14" t="s">
        <v>732</v>
      </c>
      <c r="D1183" s="14"/>
      <c r="E1183" s="14"/>
      <c r="F1183" s="14"/>
      <c r="G1183" s="14"/>
      <c r="H1183" s="14"/>
      <c r="I1183" s="14"/>
    </row>
    <row r="1184" customFormat="false" ht="15" hidden="false" customHeight="false" outlineLevel="0" collapsed="false">
      <c r="A1184" s="14" t="s">
        <v>279</v>
      </c>
      <c r="B1184" s="14" t="s">
        <v>280</v>
      </c>
      <c r="C1184" s="36" t="s">
        <v>281</v>
      </c>
      <c r="D1184" s="52" t="n">
        <v>250</v>
      </c>
      <c r="E1184" s="36" t="s">
        <v>282</v>
      </c>
      <c r="F1184" s="52" t="n">
        <f aca="false">D1184</f>
        <v>250</v>
      </c>
      <c r="G1184" s="14" t="s">
        <v>283</v>
      </c>
      <c r="I1184" s="36" t="s">
        <v>134</v>
      </c>
      <c r="J1184" s="53" t="n">
        <f aca="false">J1188+J1191+J1194</f>
        <v>2.9418736</v>
      </c>
    </row>
    <row r="1185" customFormat="false" ht="15" hidden="false" customHeight="false" outlineLevel="0" collapsed="false">
      <c r="A1185" s="14" t="s">
        <v>284</v>
      </c>
      <c r="B1185" s="14" t="s">
        <v>285</v>
      </c>
      <c r="F1185" s="36" t="s">
        <v>123</v>
      </c>
      <c r="G1185" s="36" t="s">
        <v>286</v>
      </c>
      <c r="H1185" s="36" t="s">
        <v>287</v>
      </c>
      <c r="I1185" s="36" t="s">
        <v>288</v>
      </c>
      <c r="J1185" s="36" t="s">
        <v>289</v>
      </c>
    </row>
    <row r="1186" customFormat="false" ht="15" hidden="false" customHeight="false" outlineLevel="0" collapsed="false">
      <c r="B1186" s="54" t="s">
        <v>290</v>
      </c>
    </row>
    <row r="1187" customFormat="false" ht="15" hidden="false" customHeight="false" outlineLevel="0" collapsed="false">
      <c r="B1187" s="1" t="s">
        <v>293</v>
      </c>
      <c r="F1187" s="55" t="s">
        <v>292</v>
      </c>
      <c r="G1187" s="56" t="n">
        <v>1</v>
      </c>
      <c r="H1187" s="57" t="n">
        <f aca="false">G1187*8/$D$1184</f>
        <v>0.032</v>
      </c>
      <c r="I1187" s="28" t="n">
        <v>22.66</v>
      </c>
      <c r="J1187" s="28" t="n">
        <f aca="false">H1187*I1187</f>
        <v>0.72512</v>
      </c>
    </row>
    <row r="1188" customFormat="false" ht="15" hidden="false" customHeight="false" outlineLevel="0" collapsed="false">
      <c r="F1188" s="55"/>
      <c r="G1188" s="56"/>
      <c r="H1188" s="57"/>
      <c r="I1188" s="28"/>
      <c r="J1188" s="53" t="n">
        <f aca="false">SUM(J1187:J1187)</f>
        <v>0.72512</v>
      </c>
    </row>
    <row r="1189" customFormat="false" ht="15" hidden="false" customHeight="false" outlineLevel="0" collapsed="false">
      <c r="B1189" s="54" t="s">
        <v>295</v>
      </c>
    </row>
    <row r="1190" customFormat="false" ht="15" hidden="false" customHeight="false" outlineLevel="0" collapsed="false">
      <c r="B1190" s="1" t="s">
        <v>729</v>
      </c>
      <c r="F1190" s="55" t="s">
        <v>440</v>
      </c>
      <c r="H1190" s="57" t="n">
        <v>0.05</v>
      </c>
      <c r="I1190" s="28" t="n">
        <v>43.9</v>
      </c>
      <c r="J1190" s="28" t="n">
        <f aca="false">H1190*I1190</f>
        <v>2.195</v>
      </c>
    </row>
    <row r="1191" customFormat="false" ht="15" hidden="false" customHeight="false" outlineLevel="0" collapsed="false">
      <c r="J1191" s="53" t="n">
        <f aca="false">SUM(J1190)</f>
        <v>2.195</v>
      </c>
    </row>
    <row r="1192" customFormat="false" ht="15" hidden="false" customHeight="false" outlineLevel="0" collapsed="false">
      <c r="B1192" s="54" t="s">
        <v>318</v>
      </c>
    </row>
    <row r="1193" customFormat="false" ht="15" hidden="false" customHeight="false" outlineLevel="0" collapsed="false">
      <c r="B1193" s="1" t="s">
        <v>311</v>
      </c>
      <c r="F1193" s="55" t="s">
        <v>312</v>
      </c>
      <c r="H1193" s="57" t="n">
        <v>3</v>
      </c>
      <c r="I1193" s="28" t="n">
        <f aca="false">J1188</f>
        <v>0.72512</v>
      </c>
      <c r="J1193" s="28" t="n">
        <f aca="false">H1193%*I1193</f>
        <v>0.0217536</v>
      </c>
    </row>
    <row r="1194" customFormat="false" ht="15" hidden="false" customHeight="false" outlineLevel="0" collapsed="false">
      <c r="A1194" s="60"/>
      <c r="B1194" s="60"/>
      <c r="C1194" s="60"/>
      <c r="D1194" s="60"/>
      <c r="E1194" s="60"/>
      <c r="F1194" s="60"/>
      <c r="G1194" s="60"/>
      <c r="H1194" s="60"/>
      <c r="I1194" s="60"/>
      <c r="J1194" s="61" t="n">
        <f aca="false">SUM(J1193)</f>
        <v>0.0217536</v>
      </c>
    </row>
    <row r="1195" customFormat="false" ht="15" hidden="false" customHeight="false" outlineLevel="0" collapsed="false">
      <c r="J1195" s="53"/>
    </row>
    <row r="1196" customFormat="false" ht="15" hidden="false" customHeight="false" outlineLevel="0" collapsed="false">
      <c r="A1196" s="14" t="s">
        <v>278</v>
      </c>
      <c r="B1196" s="14" t="str">
        <f aca="false">ESTRUCTURA!A95</f>
        <v>02.04.03.05</v>
      </c>
      <c r="C1196" s="14" t="s">
        <v>604</v>
      </c>
      <c r="D1196" s="14"/>
      <c r="E1196" s="14"/>
      <c r="F1196" s="14"/>
      <c r="G1196" s="14"/>
      <c r="H1196" s="14"/>
      <c r="I1196" s="14"/>
    </row>
    <row r="1197" customFormat="false" ht="15" hidden="false" customHeight="false" outlineLevel="0" collapsed="false">
      <c r="A1197" s="14" t="s">
        <v>279</v>
      </c>
      <c r="B1197" s="14" t="s">
        <v>314</v>
      </c>
      <c r="C1197" s="36" t="s">
        <v>281</v>
      </c>
      <c r="D1197" s="52" t="n">
        <v>100</v>
      </c>
      <c r="E1197" s="36" t="s">
        <v>282</v>
      </c>
      <c r="F1197" s="52" t="n">
        <f aca="false">D1197</f>
        <v>100</v>
      </c>
      <c r="G1197" s="14" t="s">
        <v>283</v>
      </c>
      <c r="I1197" s="36" t="s">
        <v>145</v>
      </c>
      <c r="J1197" s="53" t="n">
        <f aca="false">J1202+J1206+J1209</f>
        <v>19.2386832</v>
      </c>
    </row>
    <row r="1198" customFormat="false" ht="15" hidden="false" customHeight="false" outlineLevel="0" collapsed="false">
      <c r="A1198" s="14" t="s">
        <v>284</v>
      </c>
      <c r="B1198" s="14" t="s">
        <v>285</v>
      </c>
      <c r="F1198" s="36" t="s">
        <v>123</v>
      </c>
      <c r="G1198" s="36" t="s">
        <v>286</v>
      </c>
      <c r="H1198" s="36" t="s">
        <v>287</v>
      </c>
      <c r="I1198" s="36" t="s">
        <v>288</v>
      </c>
      <c r="J1198" s="36" t="s">
        <v>289</v>
      </c>
    </row>
    <row r="1199" customFormat="false" ht="15" hidden="false" customHeight="false" outlineLevel="0" collapsed="false">
      <c r="B1199" s="54" t="s">
        <v>290</v>
      </c>
    </row>
    <row r="1200" customFormat="false" ht="15" hidden="false" customHeight="false" outlineLevel="0" collapsed="false">
      <c r="B1200" s="1" t="s">
        <v>651</v>
      </c>
      <c r="F1200" s="55" t="s">
        <v>292</v>
      </c>
      <c r="G1200" s="56" t="n">
        <v>1</v>
      </c>
      <c r="H1200" s="57" t="n">
        <f aca="false">G1200*8/$D$1197</f>
        <v>0.08</v>
      </c>
      <c r="I1200" s="28" t="n">
        <v>34.73</v>
      </c>
      <c r="J1200" s="28" t="n">
        <f aca="false">H1200*I1200</f>
        <v>2.7784</v>
      </c>
    </row>
    <row r="1201" customFormat="false" ht="15" hidden="false" customHeight="false" outlineLevel="0" collapsed="false">
      <c r="B1201" s="1" t="s">
        <v>291</v>
      </c>
      <c r="F1201" s="55" t="s">
        <v>292</v>
      </c>
      <c r="G1201" s="56" t="n">
        <v>0.2</v>
      </c>
      <c r="H1201" s="57" t="n">
        <f aca="false">G1201*8/$D$1197</f>
        <v>0.016</v>
      </c>
      <c r="I1201" s="28" t="n">
        <v>28.94</v>
      </c>
      <c r="J1201" s="28" t="n">
        <f aca="false">H1201*I1201</f>
        <v>0.46304</v>
      </c>
    </row>
    <row r="1202" customFormat="false" ht="15" hidden="false" customHeight="false" outlineLevel="0" collapsed="false">
      <c r="F1202" s="55"/>
      <c r="G1202" s="56"/>
      <c r="H1202" s="57"/>
      <c r="I1202" s="28"/>
      <c r="J1202" s="53" t="n">
        <f aca="false">SUM(J1200:J1201)</f>
        <v>3.24144</v>
      </c>
    </row>
    <row r="1203" customFormat="false" ht="15" hidden="false" customHeight="false" outlineLevel="0" collapsed="false">
      <c r="B1203" s="54" t="s">
        <v>295</v>
      </c>
      <c r="F1203" s="55"/>
    </row>
    <row r="1204" customFormat="false" ht="15" hidden="false" customHeight="false" outlineLevel="0" collapsed="false">
      <c r="B1204" s="1" t="s">
        <v>730</v>
      </c>
      <c r="F1204" s="55" t="s">
        <v>134</v>
      </c>
      <c r="H1204" s="57" t="n">
        <v>0.05</v>
      </c>
      <c r="I1204" s="28" t="n">
        <v>18</v>
      </c>
      <c r="J1204" s="28" t="n">
        <f aca="false">H1204*I1204</f>
        <v>0.9</v>
      </c>
    </row>
    <row r="1205" customFormat="false" ht="15" hidden="false" customHeight="false" outlineLevel="0" collapsed="false">
      <c r="B1205" s="1" t="s">
        <v>731</v>
      </c>
      <c r="F1205" s="55" t="s">
        <v>440</v>
      </c>
      <c r="H1205" s="57" t="n">
        <v>0.1</v>
      </c>
      <c r="I1205" s="28" t="n">
        <v>150</v>
      </c>
      <c r="J1205" s="28" t="n">
        <f aca="false">H1205*I1205</f>
        <v>15</v>
      </c>
    </row>
    <row r="1206" customFormat="false" ht="15" hidden="false" customHeight="false" outlineLevel="0" collapsed="false">
      <c r="J1206" s="53" t="n">
        <f aca="false">SUM(J1204:J1205)</f>
        <v>15.9</v>
      </c>
    </row>
    <row r="1207" customFormat="false" ht="15" hidden="false" customHeight="false" outlineLevel="0" collapsed="false">
      <c r="B1207" s="54" t="s">
        <v>318</v>
      </c>
    </row>
    <row r="1208" customFormat="false" ht="15" hidden="false" customHeight="false" outlineLevel="0" collapsed="false">
      <c r="B1208" s="1" t="s">
        <v>311</v>
      </c>
      <c r="F1208" s="55" t="s">
        <v>312</v>
      </c>
      <c r="H1208" s="57" t="n">
        <v>3</v>
      </c>
      <c r="I1208" s="28" t="n">
        <f aca="false">J1202</f>
        <v>3.24144</v>
      </c>
      <c r="J1208" s="28" t="n">
        <f aca="false">H1208%*I1208</f>
        <v>0.0972432</v>
      </c>
    </row>
    <row r="1209" customFormat="false" ht="15" hidden="false" customHeight="false" outlineLevel="0" collapsed="false">
      <c r="A1209" s="60"/>
      <c r="B1209" s="60"/>
      <c r="C1209" s="60"/>
      <c r="D1209" s="60"/>
      <c r="E1209" s="60"/>
      <c r="F1209" s="60"/>
      <c r="G1209" s="60"/>
      <c r="H1209" s="60"/>
      <c r="I1209" s="60"/>
      <c r="J1209" s="61" t="n">
        <f aca="false">SUM(J1208)</f>
        <v>0.0972432</v>
      </c>
    </row>
    <row r="1211" customFormat="false" ht="15" hidden="false" customHeight="false" outlineLevel="0" collapsed="false">
      <c r="A1211" s="14" t="s">
        <v>278</v>
      </c>
      <c r="B1211" s="14" t="str">
        <f aca="false">ESTRUCTURA!A96</f>
        <v>02.04.03.06</v>
      </c>
      <c r="C1211" s="14" t="s">
        <v>606</v>
      </c>
      <c r="D1211" s="14"/>
      <c r="E1211" s="14"/>
      <c r="F1211" s="14"/>
      <c r="G1211" s="14"/>
      <c r="H1211" s="14"/>
      <c r="I1211" s="14"/>
    </row>
    <row r="1212" customFormat="false" ht="15" hidden="false" customHeight="false" outlineLevel="0" collapsed="false">
      <c r="A1212" s="14" t="s">
        <v>279</v>
      </c>
      <c r="B1212" s="14" t="s">
        <v>314</v>
      </c>
      <c r="C1212" s="36" t="s">
        <v>281</v>
      </c>
      <c r="D1212" s="52" t="n">
        <v>100</v>
      </c>
      <c r="E1212" s="36" t="s">
        <v>282</v>
      </c>
      <c r="F1212" s="52" t="n">
        <f aca="false">D1212</f>
        <v>100</v>
      </c>
      <c r="G1212" s="14" t="s">
        <v>283</v>
      </c>
      <c r="I1212" s="36" t="s">
        <v>145</v>
      </c>
      <c r="J1212" s="53" t="n">
        <f aca="false">J1217+J1221+J1224</f>
        <v>19.2386832</v>
      </c>
    </row>
    <row r="1213" customFormat="false" ht="15" hidden="false" customHeight="false" outlineLevel="0" collapsed="false">
      <c r="A1213" s="14" t="s">
        <v>284</v>
      </c>
      <c r="B1213" s="14" t="s">
        <v>285</v>
      </c>
      <c r="F1213" s="36" t="s">
        <v>123</v>
      </c>
      <c r="G1213" s="36" t="s">
        <v>286</v>
      </c>
      <c r="H1213" s="36" t="s">
        <v>287</v>
      </c>
      <c r="I1213" s="36" t="s">
        <v>288</v>
      </c>
      <c r="J1213" s="36" t="s">
        <v>289</v>
      </c>
    </row>
    <row r="1214" customFormat="false" ht="15" hidden="false" customHeight="false" outlineLevel="0" collapsed="false">
      <c r="B1214" s="54" t="s">
        <v>290</v>
      </c>
    </row>
    <row r="1215" customFormat="false" ht="15" hidden="false" customHeight="false" outlineLevel="0" collapsed="false">
      <c r="B1215" s="1" t="s">
        <v>651</v>
      </c>
      <c r="F1215" s="55" t="s">
        <v>292</v>
      </c>
      <c r="G1215" s="56" t="n">
        <v>1</v>
      </c>
      <c r="H1215" s="57" t="n">
        <f aca="false">G1215*8/$D$1212</f>
        <v>0.08</v>
      </c>
      <c r="I1215" s="28" t="n">
        <v>34.73</v>
      </c>
      <c r="J1215" s="28" t="n">
        <f aca="false">H1215*I1215</f>
        <v>2.7784</v>
      </c>
    </row>
    <row r="1216" customFormat="false" ht="15" hidden="false" customHeight="false" outlineLevel="0" collapsed="false">
      <c r="B1216" s="1" t="s">
        <v>291</v>
      </c>
      <c r="F1216" s="55" t="s">
        <v>292</v>
      </c>
      <c r="G1216" s="56" t="n">
        <v>0.2</v>
      </c>
      <c r="H1216" s="57" t="n">
        <f aca="false">G1216*8/$D$1212</f>
        <v>0.016</v>
      </c>
      <c r="I1216" s="28" t="n">
        <v>28.94</v>
      </c>
      <c r="J1216" s="28" t="n">
        <f aca="false">H1216*I1216</f>
        <v>0.46304</v>
      </c>
    </row>
    <row r="1217" customFormat="false" ht="15" hidden="false" customHeight="false" outlineLevel="0" collapsed="false">
      <c r="F1217" s="55"/>
      <c r="G1217" s="56"/>
      <c r="H1217" s="57"/>
      <c r="I1217" s="28"/>
      <c r="J1217" s="53" t="n">
        <f aca="false">SUM(J1215:J1216)</f>
        <v>3.24144</v>
      </c>
    </row>
    <row r="1218" customFormat="false" ht="15" hidden="false" customHeight="false" outlineLevel="0" collapsed="false">
      <c r="B1218" s="54" t="s">
        <v>295</v>
      </c>
      <c r="F1218" s="55"/>
    </row>
    <row r="1219" customFormat="false" ht="15" hidden="false" customHeight="false" outlineLevel="0" collapsed="false">
      <c r="B1219" s="1" t="s">
        <v>730</v>
      </c>
      <c r="F1219" s="55" t="s">
        <v>134</v>
      </c>
      <c r="H1219" s="57" t="n">
        <v>0.05</v>
      </c>
      <c r="I1219" s="28" t="n">
        <v>18</v>
      </c>
      <c r="J1219" s="28" t="n">
        <f aca="false">H1219*I1219</f>
        <v>0.9</v>
      </c>
    </row>
    <row r="1220" customFormat="false" ht="15" hidden="false" customHeight="false" outlineLevel="0" collapsed="false">
      <c r="B1220" s="1" t="s">
        <v>731</v>
      </c>
      <c r="F1220" s="55" t="s">
        <v>440</v>
      </c>
      <c r="H1220" s="57" t="n">
        <v>0.1</v>
      </c>
      <c r="I1220" s="28" t="n">
        <v>150</v>
      </c>
      <c r="J1220" s="28" t="n">
        <f aca="false">H1220*I1220</f>
        <v>15</v>
      </c>
    </row>
    <row r="1221" customFormat="false" ht="15" hidden="false" customHeight="false" outlineLevel="0" collapsed="false">
      <c r="J1221" s="53" t="n">
        <f aca="false">SUM(J1219:J1220)</f>
        <v>15.9</v>
      </c>
    </row>
    <row r="1222" customFormat="false" ht="15" hidden="false" customHeight="false" outlineLevel="0" collapsed="false">
      <c r="B1222" s="54" t="s">
        <v>318</v>
      </c>
    </row>
    <row r="1223" customFormat="false" ht="15" hidden="false" customHeight="false" outlineLevel="0" collapsed="false">
      <c r="B1223" s="1" t="s">
        <v>311</v>
      </c>
      <c r="F1223" s="55" t="s">
        <v>312</v>
      </c>
      <c r="H1223" s="57" t="n">
        <v>3</v>
      </c>
      <c r="I1223" s="28" t="n">
        <f aca="false">J1217</f>
        <v>3.24144</v>
      </c>
      <c r="J1223" s="28" t="n">
        <f aca="false">H1223%*I1223</f>
        <v>0.0972432</v>
      </c>
    </row>
    <row r="1224" customFormat="false" ht="15" hidden="false" customHeight="false" outlineLevel="0" collapsed="false">
      <c r="A1224" s="60"/>
      <c r="B1224" s="60"/>
      <c r="C1224" s="60"/>
      <c r="D1224" s="60"/>
      <c r="E1224" s="60"/>
      <c r="F1224" s="60"/>
      <c r="G1224" s="60"/>
      <c r="H1224" s="60"/>
      <c r="I1224" s="60"/>
      <c r="J1224" s="61" t="n">
        <f aca="false">SUM(J1223)</f>
        <v>0.0972432</v>
      </c>
    </row>
    <row r="1225" customFormat="false" ht="15" hidden="false" customHeight="false" outlineLevel="0" collapsed="false">
      <c r="F1225" s="55"/>
      <c r="H1225" s="57"/>
      <c r="I1225" s="28"/>
      <c r="J1225" s="28"/>
    </row>
    <row r="1226" customFormat="false" ht="15" hidden="false" customHeight="false" outlineLevel="0" collapsed="false">
      <c r="A1226" s="14" t="s">
        <v>278</v>
      </c>
      <c r="B1226" s="14" t="str">
        <f aca="false">ESTRUCTURA!A98</f>
        <v>02.04.04.01</v>
      </c>
      <c r="C1226" s="14" t="s">
        <v>630</v>
      </c>
      <c r="D1226" s="14"/>
      <c r="E1226" s="14"/>
      <c r="F1226" s="14"/>
      <c r="G1226" s="14"/>
      <c r="H1226" s="14"/>
      <c r="I1226" s="14"/>
    </row>
    <row r="1227" customFormat="false" ht="15" hidden="false" customHeight="false" outlineLevel="0" collapsed="false">
      <c r="A1227" s="14" t="s">
        <v>279</v>
      </c>
      <c r="B1227" s="14" t="s">
        <v>280</v>
      </c>
      <c r="C1227" s="36" t="s">
        <v>281</v>
      </c>
      <c r="D1227" s="52" t="n">
        <v>12</v>
      </c>
      <c r="E1227" s="36" t="s">
        <v>282</v>
      </c>
      <c r="F1227" s="52" t="n">
        <f aca="false">D1227</f>
        <v>12</v>
      </c>
      <c r="G1227" s="14" t="s">
        <v>283</v>
      </c>
      <c r="I1227" s="36" t="s">
        <v>134</v>
      </c>
      <c r="J1227" s="53" t="n">
        <f aca="false">J1234+J1240+J1243</f>
        <v>84.6740433333333</v>
      </c>
    </row>
    <row r="1228" customFormat="false" ht="15" hidden="false" customHeight="false" outlineLevel="0" collapsed="false">
      <c r="A1228" s="14" t="s">
        <v>284</v>
      </c>
      <c r="B1228" s="14" t="s">
        <v>285</v>
      </c>
      <c r="F1228" s="36" t="s">
        <v>123</v>
      </c>
      <c r="G1228" s="36" t="s">
        <v>286</v>
      </c>
      <c r="H1228" s="36" t="s">
        <v>287</v>
      </c>
      <c r="I1228" s="36" t="s">
        <v>288</v>
      </c>
      <c r="J1228" s="36" t="s">
        <v>289</v>
      </c>
    </row>
    <row r="1229" customFormat="false" ht="15" hidden="false" customHeight="false" outlineLevel="0" collapsed="false">
      <c r="B1229" s="54" t="s">
        <v>290</v>
      </c>
    </row>
    <row r="1230" customFormat="false" ht="15" hidden="false" customHeight="false" outlineLevel="0" collapsed="false">
      <c r="B1230" s="1" t="s">
        <v>651</v>
      </c>
      <c r="F1230" s="55" t="s">
        <v>292</v>
      </c>
      <c r="G1230" s="56" t="n">
        <v>0.1</v>
      </c>
      <c r="H1230" s="57" t="n">
        <f aca="false">G1230*8/$D$1227</f>
        <v>0.0666666666666667</v>
      </c>
      <c r="I1230" s="28" t="n">
        <v>34.73</v>
      </c>
      <c r="J1230" s="28" t="n">
        <f aca="false">H1230*I1230</f>
        <v>2.31533333333333</v>
      </c>
    </row>
    <row r="1231" customFormat="false" ht="15" hidden="false" customHeight="false" outlineLevel="0" collapsed="false">
      <c r="B1231" s="1" t="s">
        <v>291</v>
      </c>
      <c r="F1231" s="55" t="s">
        <v>292</v>
      </c>
      <c r="G1231" s="56" t="n">
        <v>1</v>
      </c>
      <c r="H1231" s="57" t="n">
        <f aca="false">G1231*8/$D$1227</f>
        <v>0.666666666666667</v>
      </c>
      <c r="I1231" s="28" t="n">
        <v>28.94</v>
      </c>
      <c r="J1231" s="28" t="n">
        <f aca="false">H1231*I1231</f>
        <v>19.2933333333333</v>
      </c>
    </row>
    <row r="1232" customFormat="false" ht="15" hidden="false" customHeight="false" outlineLevel="0" collapsed="false">
      <c r="B1232" s="1" t="s">
        <v>293</v>
      </c>
      <c r="F1232" s="55" t="s">
        <v>292</v>
      </c>
      <c r="G1232" s="56" t="n">
        <v>1</v>
      </c>
      <c r="H1232" s="57" t="n">
        <f aca="false">G1232*8/$D$1227</f>
        <v>0.666666666666667</v>
      </c>
      <c r="I1232" s="28" t="n">
        <v>22.66</v>
      </c>
      <c r="J1232" s="28" t="n">
        <f aca="false">H1232*I1232</f>
        <v>15.1066666666667</v>
      </c>
    </row>
    <row r="1233" customFormat="false" ht="15" hidden="false" customHeight="false" outlineLevel="0" collapsed="false">
      <c r="B1233" s="1" t="s">
        <v>294</v>
      </c>
      <c r="F1233" s="55" t="s">
        <v>292</v>
      </c>
      <c r="G1233" s="56" t="n">
        <v>0.75</v>
      </c>
      <c r="H1233" s="57" t="n">
        <f aca="false">G1233*8/$D$1227</f>
        <v>0.5</v>
      </c>
      <c r="I1233" s="28" t="n">
        <v>20.51</v>
      </c>
      <c r="J1233" s="28" t="n">
        <f aca="false">H1233*I1233</f>
        <v>10.255</v>
      </c>
    </row>
    <row r="1234" customFormat="false" ht="15" hidden="false" customHeight="false" outlineLevel="0" collapsed="false">
      <c r="J1234" s="53" t="n">
        <f aca="false">SUM(J1230:J1233)</f>
        <v>46.9703333333333</v>
      </c>
    </row>
    <row r="1235" customFormat="false" ht="15" hidden="false" customHeight="false" outlineLevel="0" collapsed="false">
      <c r="B1235" s="54" t="s">
        <v>295</v>
      </c>
      <c r="F1235" s="55"/>
    </row>
    <row r="1236" customFormat="false" ht="15" hidden="false" customHeight="false" outlineLevel="0" collapsed="false">
      <c r="B1236" s="1" t="s">
        <v>689</v>
      </c>
      <c r="F1236" s="55" t="s">
        <v>297</v>
      </c>
      <c r="H1236" s="57" t="n">
        <v>0.1</v>
      </c>
      <c r="I1236" s="28" t="n">
        <v>2.64</v>
      </c>
      <c r="J1236" s="28" t="n">
        <f aca="false">H1236*I1236</f>
        <v>0.264</v>
      </c>
    </row>
    <row r="1237" customFormat="false" ht="15" hidden="false" customHeight="false" outlineLevel="0" collapsed="false">
      <c r="B1237" s="1" t="s">
        <v>727</v>
      </c>
      <c r="F1237" s="55" t="s">
        <v>297</v>
      </c>
      <c r="H1237" s="57" t="n">
        <v>0.2</v>
      </c>
      <c r="I1237" s="1" t="n">
        <v>4.16</v>
      </c>
      <c r="J1237" s="28" t="n">
        <f aca="false">H1237*I1237</f>
        <v>0.832</v>
      </c>
    </row>
    <row r="1238" customFormat="false" ht="15" hidden="false" customHeight="false" outlineLevel="0" collapsed="false">
      <c r="B1238" s="1" t="s">
        <v>734</v>
      </c>
      <c r="F1238" s="55" t="s">
        <v>150</v>
      </c>
      <c r="H1238" s="57" t="n">
        <v>0.07</v>
      </c>
      <c r="I1238" s="1" t="n">
        <v>43.98</v>
      </c>
      <c r="J1238" s="28" t="n">
        <f aca="false">H1238*I1238</f>
        <v>3.0786</v>
      </c>
    </row>
    <row r="1239" customFormat="false" ht="15" hidden="false" customHeight="false" outlineLevel="0" collapsed="false">
      <c r="B1239" s="1" t="s">
        <v>309</v>
      </c>
      <c r="F1239" s="55" t="s">
        <v>306</v>
      </c>
      <c r="H1239" s="57" t="n">
        <v>3.65</v>
      </c>
      <c r="I1239" s="28" t="n">
        <v>8.8</v>
      </c>
      <c r="J1239" s="28" t="n">
        <f aca="false">H1239*I1239</f>
        <v>32.12</v>
      </c>
    </row>
    <row r="1240" customFormat="false" ht="15" hidden="false" customHeight="false" outlineLevel="0" collapsed="false">
      <c r="J1240" s="53" t="n">
        <f aca="false">SUM(J1236:J1239)</f>
        <v>36.2946</v>
      </c>
    </row>
    <row r="1241" customFormat="false" ht="15" hidden="false" customHeight="false" outlineLevel="0" collapsed="false">
      <c r="B1241" s="54" t="s">
        <v>318</v>
      </c>
    </row>
    <row r="1242" customFormat="false" ht="15" hidden="false" customHeight="false" outlineLevel="0" collapsed="false">
      <c r="B1242" s="1" t="s">
        <v>311</v>
      </c>
      <c r="F1242" s="55" t="s">
        <v>312</v>
      </c>
      <c r="H1242" s="57" t="n">
        <v>3</v>
      </c>
      <c r="I1242" s="28" t="n">
        <f aca="false">J1234</f>
        <v>46.9703333333333</v>
      </c>
      <c r="J1242" s="28" t="n">
        <f aca="false">H1242%*I1242</f>
        <v>1.40911</v>
      </c>
    </row>
    <row r="1243" customFormat="false" ht="15" hidden="false" customHeight="false" outlineLevel="0" collapsed="false">
      <c r="A1243" s="60"/>
      <c r="B1243" s="60"/>
      <c r="C1243" s="60"/>
      <c r="D1243" s="60"/>
      <c r="E1243" s="60"/>
      <c r="F1243" s="60"/>
      <c r="G1243" s="60"/>
      <c r="H1243" s="60"/>
      <c r="I1243" s="60"/>
      <c r="J1243" s="61" t="n">
        <f aca="false">SUM(J1242:J1242)</f>
        <v>1.40911</v>
      </c>
    </row>
    <row r="1245" customFormat="false" ht="15" hidden="false" customHeight="false" outlineLevel="0" collapsed="false">
      <c r="A1245" s="14" t="s">
        <v>278</v>
      </c>
      <c r="B1245" s="14" t="str">
        <f aca="false">ESTRUCTURA!A99</f>
        <v>02.04.04.02</v>
      </c>
      <c r="C1245" s="14" t="s">
        <v>632</v>
      </c>
      <c r="D1245" s="14"/>
      <c r="E1245" s="14"/>
      <c r="F1245" s="14"/>
      <c r="G1245" s="14"/>
      <c r="H1245" s="14"/>
      <c r="I1245" s="14"/>
    </row>
    <row r="1246" customFormat="false" ht="15" hidden="false" customHeight="false" outlineLevel="0" collapsed="false">
      <c r="A1246" s="14" t="s">
        <v>279</v>
      </c>
      <c r="B1246" s="14" t="s">
        <v>679</v>
      </c>
      <c r="C1246" s="36" t="s">
        <v>281</v>
      </c>
      <c r="D1246" s="52" t="n">
        <v>280</v>
      </c>
      <c r="E1246" s="36" t="s">
        <v>282</v>
      </c>
      <c r="F1246" s="52" t="n">
        <f aca="false">D1246</f>
        <v>280</v>
      </c>
      <c r="G1246" s="14" t="s">
        <v>283</v>
      </c>
      <c r="I1246" s="36" t="s">
        <v>297</v>
      </c>
      <c r="J1246" s="53" t="n">
        <f aca="false">J1253+J1256+J1259</f>
        <v>7.50579971428572</v>
      </c>
    </row>
    <row r="1247" customFormat="false" ht="15" hidden="false" customHeight="false" outlineLevel="0" collapsed="false">
      <c r="A1247" s="14" t="s">
        <v>284</v>
      </c>
      <c r="B1247" s="14" t="s">
        <v>285</v>
      </c>
      <c r="F1247" s="36" t="s">
        <v>123</v>
      </c>
      <c r="G1247" s="36" t="s">
        <v>286</v>
      </c>
      <c r="H1247" s="36" t="s">
        <v>287</v>
      </c>
      <c r="I1247" s="36" t="s">
        <v>288</v>
      </c>
      <c r="J1247" s="36" t="s">
        <v>289</v>
      </c>
    </row>
    <row r="1248" customFormat="false" ht="15" hidden="false" customHeight="false" outlineLevel="0" collapsed="false">
      <c r="B1248" s="54" t="s">
        <v>290</v>
      </c>
    </row>
    <row r="1249" customFormat="false" ht="15" hidden="false" customHeight="false" outlineLevel="0" collapsed="false">
      <c r="B1249" s="1" t="s">
        <v>651</v>
      </c>
      <c r="F1249" s="55" t="s">
        <v>292</v>
      </c>
      <c r="G1249" s="56" t="n">
        <v>0.1</v>
      </c>
      <c r="H1249" s="57" t="n">
        <f aca="false">G1249*8/$D$1246</f>
        <v>0.00285714285714286</v>
      </c>
      <c r="I1249" s="28" t="n">
        <v>34.73</v>
      </c>
      <c r="J1249" s="28" t="n">
        <f aca="false">H1249*I1249</f>
        <v>0.0992285714285714</v>
      </c>
    </row>
    <row r="1250" customFormat="false" ht="15" hidden="false" customHeight="false" outlineLevel="0" collapsed="false">
      <c r="B1250" s="1" t="s">
        <v>291</v>
      </c>
      <c r="F1250" s="55" t="s">
        <v>292</v>
      </c>
      <c r="G1250" s="56" t="n">
        <v>1</v>
      </c>
      <c r="H1250" s="57" t="n">
        <f aca="false">G1250*8/$D$1246</f>
        <v>0.0285714285714286</v>
      </c>
      <c r="I1250" s="28" t="n">
        <v>28.94</v>
      </c>
      <c r="J1250" s="28" t="n">
        <f aca="false">H1250*I1250</f>
        <v>0.826857142857143</v>
      </c>
    </row>
    <row r="1251" customFormat="false" ht="15" hidden="false" customHeight="false" outlineLevel="0" collapsed="false">
      <c r="B1251" s="1" t="s">
        <v>293</v>
      </c>
      <c r="F1251" s="55" t="s">
        <v>292</v>
      </c>
      <c r="G1251" s="56" t="n">
        <v>1</v>
      </c>
      <c r="H1251" s="57" t="n">
        <f aca="false">G1251*8/$D$1246</f>
        <v>0.0285714285714286</v>
      </c>
      <c r="I1251" s="28" t="n">
        <v>22.66</v>
      </c>
      <c r="J1251" s="28" t="n">
        <f aca="false">H1251*I1251</f>
        <v>0.647428571428572</v>
      </c>
    </row>
    <row r="1252" customFormat="false" ht="15" hidden="false" customHeight="false" outlineLevel="0" collapsed="false">
      <c r="B1252" s="1" t="s">
        <v>294</v>
      </c>
      <c r="F1252" s="55" t="s">
        <v>292</v>
      </c>
      <c r="G1252" s="56" t="n">
        <v>1</v>
      </c>
      <c r="H1252" s="57" t="n">
        <f aca="false">G1252*8/$D$1246</f>
        <v>0.0285714285714286</v>
      </c>
      <c r="I1252" s="28" t="n">
        <v>20.51</v>
      </c>
      <c r="J1252" s="28" t="n">
        <f aca="false">H1252*I1252</f>
        <v>0.586</v>
      </c>
    </row>
    <row r="1253" customFormat="false" ht="15" hidden="false" customHeight="false" outlineLevel="0" collapsed="false">
      <c r="J1253" s="53" t="n">
        <f aca="false">SUM(J1249:J1252)</f>
        <v>2.15951428571429</v>
      </c>
    </row>
    <row r="1254" customFormat="false" ht="15" hidden="false" customHeight="false" outlineLevel="0" collapsed="false">
      <c r="B1254" s="54" t="s">
        <v>295</v>
      </c>
      <c r="F1254" s="55"/>
    </row>
    <row r="1255" customFormat="false" ht="15" hidden="false" customHeight="false" outlineLevel="0" collapsed="false">
      <c r="B1255" s="1" t="s">
        <v>735</v>
      </c>
      <c r="F1255" s="55" t="s">
        <v>297</v>
      </c>
      <c r="H1255" s="57" t="n">
        <v>1.05</v>
      </c>
      <c r="I1255" s="28" t="n">
        <v>5.03</v>
      </c>
      <c r="J1255" s="28" t="n">
        <f aca="false">H1255*I1255</f>
        <v>5.2815</v>
      </c>
    </row>
    <row r="1256" customFormat="false" ht="15" hidden="false" customHeight="false" outlineLevel="0" collapsed="false">
      <c r="J1256" s="53" t="n">
        <f aca="false">SUM(J1255:J1255)</f>
        <v>5.2815</v>
      </c>
    </row>
    <row r="1257" customFormat="false" ht="15" hidden="false" customHeight="false" outlineLevel="0" collapsed="false">
      <c r="B1257" s="54" t="s">
        <v>318</v>
      </c>
    </row>
    <row r="1258" customFormat="false" ht="15" hidden="false" customHeight="false" outlineLevel="0" collapsed="false">
      <c r="B1258" s="1" t="s">
        <v>311</v>
      </c>
      <c r="F1258" s="55" t="s">
        <v>312</v>
      </c>
      <c r="H1258" s="57" t="n">
        <v>3</v>
      </c>
      <c r="I1258" s="28" t="n">
        <f aca="false">J1253</f>
        <v>2.15951428571429</v>
      </c>
      <c r="J1258" s="28" t="n">
        <f aca="false">H1258%*I1258</f>
        <v>0.0647854285714286</v>
      </c>
    </row>
    <row r="1259" customFormat="false" ht="15" hidden="false" customHeight="false" outlineLevel="0" collapsed="false">
      <c r="A1259" s="60"/>
      <c r="B1259" s="60"/>
      <c r="C1259" s="60"/>
      <c r="D1259" s="60"/>
      <c r="E1259" s="60"/>
      <c r="F1259" s="60"/>
      <c r="G1259" s="60"/>
      <c r="H1259" s="60"/>
      <c r="I1259" s="60"/>
      <c r="J1259" s="61" t="n">
        <f aca="false">SUM(J1258:J1258)</f>
        <v>0.0647854285714286</v>
      </c>
    </row>
    <row r="1261" customFormat="false" ht="15" hidden="false" customHeight="false" outlineLevel="0" collapsed="false">
      <c r="A1261" s="14" t="s">
        <v>278</v>
      </c>
      <c r="B1261" s="82" t="str">
        <f aca="false">ESTRUCTURA!A100</f>
        <v>02.04.04.03</v>
      </c>
      <c r="C1261" s="14" t="s">
        <v>602</v>
      </c>
      <c r="D1261" s="14"/>
      <c r="E1261" s="14"/>
      <c r="F1261" s="14"/>
      <c r="G1261" s="14"/>
      <c r="H1261" s="14"/>
      <c r="I1261" s="14"/>
    </row>
    <row r="1262" customFormat="false" ht="15" hidden="false" customHeight="false" outlineLevel="0" collapsed="false">
      <c r="A1262" s="14" t="s">
        <v>279</v>
      </c>
      <c r="B1262" s="14" t="s">
        <v>280</v>
      </c>
      <c r="C1262" s="36" t="s">
        <v>281</v>
      </c>
      <c r="D1262" s="52" t="n">
        <v>250</v>
      </c>
      <c r="E1262" s="36" t="s">
        <v>282</v>
      </c>
      <c r="F1262" s="52" t="n">
        <f aca="false">D1262</f>
        <v>250</v>
      </c>
      <c r="G1262" s="14" t="s">
        <v>283</v>
      </c>
      <c r="I1262" s="36" t="s">
        <v>134</v>
      </c>
      <c r="J1262" s="53" t="n">
        <f aca="false">J1266+J1269+J1272</f>
        <v>2.9418736</v>
      </c>
    </row>
    <row r="1263" customFormat="false" ht="15" hidden="false" customHeight="false" outlineLevel="0" collapsed="false">
      <c r="A1263" s="14" t="s">
        <v>284</v>
      </c>
      <c r="B1263" s="14" t="s">
        <v>285</v>
      </c>
      <c r="F1263" s="36" t="s">
        <v>123</v>
      </c>
      <c r="G1263" s="36" t="s">
        <v>286</v>
      </c>
      <c r="H1263" s="36" t="s">
        <v>287</v>
      </c>
      <c r="I1263" s="36" t="s">
        <v>288</v>
      </c>
      <c r="J1263" s="36" t="s">
        <v>289</v>
      </c>
    </row>
    <row r="1264" customFormat="false" ht="15" hidden="false" customHeight="false" outlineLevel="0" collapsed="false">
      <c r="B1264" s="54" t="s">
        <v>290</v>
      </c>
    </row>
    <row r="1265" customFormat="false" ht="15" hidden="false" customHeight="false" outlineLevel="0" collapsed="false">
      <c r="B1265" s="1" t="s">
        <v>293</v>
      </c>
      <c r="F1265" s="55" t="s">
        <v>292</v>
      </c>
      <c r="G1265" s="56" t="n">
        <v>1</v>
      </c>
      <c r="H1265" s="57" t="n">
        <f aca="false">G1265*8/$D$1262</f>
        <v>0.032</v>
      </c>
      <c r="I1265" s="28" t="n">
        <v>22.66</v>
      </c>
      <c r="J1265" s="28" t="n">
        <f aca="false">H1265*I1265</f>
        <v>0.72512</v>
      </c>
    </row>
    <row r="1266" customFormat="false" ht="15" hidden="false" customHeight="false" outlineLevel="0" collapsed="false">
      <c r="F1266" s="55"/>
      <c r="G1266" s="56"/>
      <c r="H1266" s="57"/>
      <c r="I1266" s="28"/>
      <c r="J1266" s="53" t="n">
        <f aca="false">SUM(J1265:J1265)</f>
        <v>0.72512</v>
      </c>
    </row>
    <row r="1267" customFormat="false" ht="15" hidden="false" customHeight="false" outlineLevel="0" collapsed="false">
      <c r="B1267" s="54" t="s">
        <v>295</v>
      </c>
    </row>
    <row r="1268" customFormat="false" ht="15" hidden="false" customHeight="false" outlineLevel="0" collapsed="false">
      <c r="B1268" s="1" t="s">
        <v>729</v>
      </c>
      <c r="F1268" s="55" t="s">
        <v>440</v>
      </c>
      <c r="H1268" s="57" t="n">
        <v>0.05</v>
      </c>
      <c r="I1268" s="28" t="n">
        <v>43.9</v>
      </c>
      <c r="J1268" s="28" t="n">
        <f aca="false">H1268*I1268</f>
        <v>2.195</v>
      </c>
    </row>
    <row r="1269" customFormat="false" ht="15" hidden="false" customHeight="false" outlineLevel="0" collapsed="false">
      <c r="J1269" s="53" t="n">
        <f aca="false">SUM(J1268)</f>
        <v>2.195</v>
      </c>
    </row>
    <row r="1270" customFormat="false" ht="15" hidden="false" customHeight="false" outlineLevel="0" collapsed="false">
      <c r="B1270" s="54" t="s">
        <v>318</v>
      </c>
    </row>
    <row r="1271" customFormat="false" ht="15" hidden="false" customHeight="false" outlineLevel="0" collapsed="false">
      <c r="B1271" s="1" t="s">
        <v>311</v>
      </c>
      <c r="F1271" s="55" t="s">
        <v>312</v>
      </c>
      <c r="H1271" s="57" t="n">
        <v>3</v>
      </c>
      <c r="I1271" s="28" t="n">
        <f aca="false">J1266</f>
        <v>0.72512</v>
      </c>
      <c r="J1271" s="28" t="n">
        <f aca="false">H1271%*I1271</f>
        <v>0.0217536</v>
      </c>
    </row>
    <row r="1272" customFormat="false" ht="15" hidden="false" customHeight="false" outlineLevel="0" collapsed="false">
      <c r="A1272" s="60"/>
      <c r="B1272" s="60"/>
      <c r="C1272" s="60"/>
      <c r="D1272" s="60"/>
      <c r="E1272" s="60"/>
      <c r="F1272" s="60"/>
      <c r="G1272" s="60"/>
      <c r="H1272" s="60"/>
      <c r="I1272" s="60"/>
      <c r="J1272" s="61" t="n">
        <f aca="false">SUM(J1271)</f>
        <v>0.0217536</v>
      </c>
    </row>
    <row r="1274" customFormat="false" ht="15" hidden="false" customHeight="false" outlineLevel="0" collapsed="false">
      <c r="A1274" s="82" t="s">
        <v>278</v>
      </c>
      <c r="B1274" s="82" t="str">
        <f aca="false">ESTRUCTURA!A101</f>
        <v>02.04.04.04</v>
      </c>
      <c r="C1274" s="82" t="s">
        <v>635</v>
      </c>
      <c r="D1274" s="82"/>
    </row>
    <row r="1275" customFormat="false" ht="15" hidden="false" customHeight="false" outlineLevel="0" collapsed="false">
      <c r="A1275" s="82" t="s">
        <v>279</v>
      </c>
      <c r="B1275" s="82" t="s">
        <v>417</v>
      </c>
      <c r="C1275" s="84" t="s">
        <v>281</v>
      </c>
      <c r="D1275" s="85" t="n">
        <v>30</v>
      </c>
      <c r="E1275" s="84" t="s">
        <v>282</v>
      </c>
      <c r="F1275" s="85" t="n">
        <f aca="false">D1275</f>
        <v>30</v>
      </c>
      <c r="G1275" s="82" t="s">
        <v>283</v>
      </c>
      <c r="I1275" s="84" t="s">
        <v>204</v>
      </c>
      <c r="J1275" s="86" t="n">
        <f aca="false">J1282+J1287+J1291</f>
        <v>445.90736</v>
      </c>
    </row>
    <row r="1276" customFormat="false" ht="15" hidden="false" customHeight="false" outlineLevel="0" collapsed="false">
      <c r="A1276" s="82" t="s">
        <v>284</v>
      </c>
      <c r="B1276" s="82" t="s">
        <v>285</v>
      </c>
      <c r="F1276" s="84" t="s">
        <v>123</v>
      </c>
      <c r="G1276" s="84" t="s">
        <v>286</v>
      </c>
      <c r="H1276" s="84" t="s">
        <v>287</v>
      </c>
      <c r="I1276" s="84" t="s">
        <v>288</v>
      </c>
      <c r="J1276" s="84" t="s">
        <v>289</v>
      </c>
    </row>
    <row r="1277" customFormat="false" ht="15" hidden="false" customHeight="false" outlineLevel="0" collapsed="false">
      <c r="B1277" s="87" t="s">
        <v>290</v>
      </c>
    </row>
    <row r="1278" customFormat="false" ht="15" hidden="false" customHeight="false" outlineLevel="0" collapsed="false">
      <c r="B1278" s="1" t="s">
        <v>651</v>
      </c>
      <c r="F1278" s="55" t="s">
        <v>292</v>
      </c>
      <c r="G1278" s="56" t="n">
        <v>0.1</v>
      </c>
      <c r="H1278" s="57" t="n">
        <f aca="false">G1278*8/$D$1275</f>
        <v>0.0266666666666667</v>
      </c>
      <c r="I1278" s="28" t="n">
        <v>34.73</v>
      </c>
      <c r="J1278" s="28" t="n">
        <f aca="false">H1278*I1278</f>
        <v>0.926133333333333</v>
      </c>
    </row>
    <row r="1279" customFormat="false" ht="15" hidden="false" customHeight="false" outlineLevel="0" collapsed="false">
      <c r="B1279" s="1" t="s">
        <v>291</v>
      </c>
      <c r="F1279" s="55" t="s">
        <v>292</v>
      </c>
      <c r="G1279" s="56" t="n">
        <v>2</v>
      </c>
      <c r="H1279" s="57" t="n">
        <f aca="false">G1279*8/$D$1275</f>
        <v>0.533333333333333</v>
      </c>
      <c r="I1279" s="28" t="n">
        <v>28.94</v>
      </c>
      <c r="J1279" s="28" t="n">
        <f aca="false">H1279*I1279</f>
        <v>15.4346666666667</v>
      </c>
    </row>
    <row r="1280" customFormat="false" ht="15" hidden="false" customHeight="false" outlineLevel="0" collapsed="false">
      <c r="B1280" s="1" t="s">
        <v>293</v>
      </c>
      <c r="F1280" s="55" t="s">
        <v>292</v>
      </c>
      <c r="G1280" s="56" t="n">
        <v>1</v>
      </c>
      <c r="H1280" s="57" t="n">
        <f aca="false">G1280*8/$D$1275</f>
        <v>0.266666666666667</v>
      </c>
      <c r="I1280" s="28" t="n">
        <v>23.6</v>
      </c>
      <c r="J1280" s="28" t="n">
        <f aca="false">H1280*I1280</f>
        <v>6.29333333333333</v>
      </c>
    </row>
    <row r="1281" customFormat="false" ht="15" hidden="false" customHeight="false" outlineLevel="0" collapsed="false">
      <c r="B1281" s="1" t="s">
        <v>294</v>
      </c>
      <c r="F1281" s="55" t="s">
        <v>292</v>
      </c>
      <c r="G1281" s="56" t="n">
        <v>4</v>
      </c>
      <c r="H1281" s="57" t="n">
        <f aca="false">G1281*8/$D$1275</f>
        <v>1.06666666666667</v>
      </c>
      <c r="I1281" s="28" t="n">
        <v>21.36</v>
      </c>
      <c r="J1281" s="28" t="n">
        <f aca="false">H1281*I1281</f>
        <v>22.784</v>
      </c>
    </row>
    <row r="1282" customFormat="false" ht="15" hidden="false" customHeight="false" outlineLevel="0" collapsed="false">
      <c r="F1282" s="55"/>
      <c r="G1282" s="56"/>
      <c r="H1282" s="57"/>
      <c r="J1282" s="86" t="n">
        <f aca="false">SUM(J1279:J1281)</f>
        <v>44.512</v>
      </c>
    </row>
    <row r="1283" customFormat="false" ht="15" hidden="false" customHeight="false" outlineLevel="0" collapsed="false">
      <c r="B1283" s="87" t="s">
        <v>654</v>
      </c>
      <c r="F1283" s="55"/>
      <c r="G1283" s="56"/>
      <c r="H1283" s="57"/>
      <c r="J1283" s="28"/>
    </row>
    <row r="1284" customFormat="false" ht="15" hidden="false" customHeight="false" outlineLevel="0" collapsed="false">
      <c r="B1284" s="102" t="s">
        <v>722</v>
      </c>
      <c r="F1284" s="55" t="s">
        <v>204</v>
      </c>
      <c r="H1284" s="57" t="n">
        <v>0.1</v>
      </c>
      <c r="I1284" s="28" t="n">
        <v>24.52</v>
      </c>
      <c r="J1284" s="28" t="n">
        <f aca="false">H1284*I1284</f>
        <v>2.452</v>
      </c>
    </row>
    <row r="1285" customFormat="false" ht="15" hidden="false" customHeight="false" outlineLevel="0" collapsed="false">
      <c r="B1285" s="102" t="s">
        <v>723</v>
      </c>
      <c r="F1285" s="55" t="s">
        <v>204</v>
      </c>
      <c r="H1285" s="57" t="n">
        <v>1.02</v>
      </c>
      <c r="I1285" s="28" t="n">
        <v>358</v>
      </c>
      <c r="J1285" s="28" t="n">
        <f aca="false">H1285*I1285</f>
        <v>365.16</v>
      </c>
    </row>
    <row r="1286" customFormat="false" ht="15" hidden="false" customHeight="false" outlineLevel="0" collapsed="false">
      <c r="B1286" s="102" t="s">
        <v>724</v>
      </c>
      <c r="F1286" s="55" t="s">
        <v>308</v>
      </c>
      <c r="H1286" s="57" t="n">
        <v>1.02</v>
      </c>
      <c r="I1286" s="28" t="n">
        <v>30</v>
      </c>
      <c r="J1286" s="28" t="n">
        <f aca="false">H1286*I1286</f>
        <v>30.6</v>
      </c>
    </row>
    <row r="1287" customFormat="false" ht="15" hidden="false" customHeight="false" outlineLevel="0" collapsed="false">
      <c r="F1287" s="55"/>
      <c r="H1287" s="57"/>
      <c r="I1287" s="28"/>
      <c r="J1287" s="86" t="n">
        <f aca="false">SUM(J1284:J1286)</f>
        <v>398.212</v>
      </c>
    </row>
    <row r="1288" customFormat="false" ht="15" hidden="false" customHeight="false" outlineLevel="0" collapsed="false">
      <c r="B1288" s="87" t="s">
        <v>310</v>
      </c>
    </row>
    <row r="1289" customFormat="false" ht="15" hidden="false" customHeight="false" outlineLevel="0" collapsed="false">
      <c r="B1289" s="1" t="s">
        <v>311</v>
      </c>
      <c r="F1289" s="55" t="s">
        <v>312</v>
      </c>
      <c r="H1289" s="57" t="n">
        <v>3</v>
      </c>
      <c r="I1289" s="28" t="n">
        <f aca="false">J1282</f>
        <v>44.512</v>
      </c>
      <c r="J1289" s="28" t="n">
        <f aca="false">H1289%*I1289</f>
        <v>1.33536</v>
      </c>
    </row>
    <row r="1290" customFormat="false" ht="15" hidden="false" customHeight="false" outlineLevel="0" collapsed="false">
      <c r="B1290" s="102" t="s">
        <v>725</v>
      </c>
      <c r="F1290" s="55" t="s">
        <v>338</v>
      </c>
      <c r="G1290" s="56" t="n">
        <v>1</v>
      </c>
      <c r="H1290" s="57" t="n">
        <f aca="false">G1290*8/$D$1275</f>
        <v>0.266666666666667</v>
      </c>
      <c r="I1290" s="28" t="n">
        <v>6.93</v>
      </c>
      <c r="J1290" s="28" t="n">
        <f aca="false">H1290*I1290</f>
        <v>1.848</v>
      </c>
    </row>
    <row r="1291" customFormat="false" ht="15" hidden="false" customHeight="false" outlineLevel="0" collapsed="false">
      <c r="A1291" s="60"/>
      <c r="B1291" s="60"/>
      <c r="C1291" s="60"/>
      <c r="D1291" s="60"/>
      <c r="E1291" s="60"/>
      <c r="F1291" s="60"/>
      <c r="G1291" s="60"/>
      <c r="H1291" s="60"/>
      <c r="I1291" s="60"/>
      <c r="J1291" s="89" t="n">
        <f aca="false">SUM(J1289:J1290)</f>
        <v>3.18336</v>
      </c>
    </row>
    <row r="1292" customFormat="false" ht="15" hidden="false" customHeight="false" outlineLevel="0" collapsed="false">
      <c r="J1292" s="86"/>
    </row>
    <row r="1293" customFormat="false" ht="15" hidden="false" customHeight="false" outlineLevel="0" collapsed="false">
      <c r="A1293" s="14" t="s">
        <v>278</v>
      </c>
      <c r="B1293" s="14" t="str">
        <f aca="false">ESTRUCTURA!A102</f>
        <v>02.04.04.05</v>
      </c>
      <c r="C1293" s="14" t="s">
        <v>606</v>
      </c>
      <c r="D1293" s="14"/>
      <c r="E1293" s="14"/>
      <c r="F1293" s="14"/>
      <c r="G1293" s="14"/>
      <c r="H1293" s="14"/>
      <c r="I1293" s="14"/>
    </row>
    <row r="1294" customFormat="false" ht="15" hidden="false" customHeight="false" outlineLevel="0" collapsed="false">
      <c r="A1294" s="14" t="s">
        <v>279</v>
      </c>
      <c r="B1294" s="14" t="s">
        <v>314</v>
      </c>
      <c r="C1294" s="36" t="s">
        <v>281</v>
      </c>
      <c r="D1294" s="52" t="n">
        <v>100</v>
      </c>
      <c r="E1294" s="36" t="s">
        <v>282</v>
      </c>
      <c r="F1294" s="52" t="n">
        <f aca="false">D1294</f>
        <v>100</v>
      </c>
      <c r="G1294" s="14" t="s">
        <v>283</v>
      </c>
      <c r="I1294" s="36" t="s">
        <v>145</v>
      </c>
      <c r="J1294" s="53" t="n">
        <f aca="false">J1299+J1303+J1306</f>
        <v>19.2386832</v>
      </c>
    </row>
    <row r="1295" customFormat="false" ht="15" hidden="false" customHeight="false" outlineLevel="0" collapsed="false">
      <c r="A1295" s="14" t="s">
        <v>284</v>
      </c>
      <c r="B1295" s="14" t="s">
        <v>285</v>
      </c>
      <c r="F1295" s="36" t="s">
        <v>123</v>
      </c>
      <c r="G1295" s="36" t="s">
        <v>286</v>
      </c>
      <c r="H1295" s="36" t="s">
        <v>287</v>
      </c>
      <c r="I1295" s="36" t="s">
        <v>288</v>
      </c>
      <c r="J1295" s="36" t="s">
        <v>289</v>
      </c>
    </row>
    <row r="1296" customFormat="false" ht="15" hidden="false" customHeight="false" outlineLevel="0" collapsed="false">
      <c r="B1296" s="54" t="s">
        <v>290</v>
      </c>
    </row>
    <row r="1297" customFormat="false" ht="15" hidden="false" customHeight="false" outlineLevel="0" collapsed="false">
      <c r="B1297" s="1" t="s">
        <v>651</v>
      </c>
      <c r="F1297" s="55" t="s">
        <v>292</v>
      </c>
      <c r="G1297" s="56" t="n">
        <v>1</v>
      </c>
      <c r="H1297" s="57" t="n">
        <f aca="false">G1297*8/$D$1294</f>
        <v>0.08</v>
      </c>
      <c r="I1297" s="28" t="n">
        <v>34.73</v>
      </c>
      <c r="J1297" s="28" t="n">
        <f aca="false">H1297*I1297</f>
        <v>2.7784</v>
      </c>
    </row>
    <row r="1298" customFormat="false" ht="15" hidden="false" customHeight="false" outlineLevel="0" collapsed="false">
      <c r="B1298" s="1" t="s">
        <v>291</v>
      </c>
      <c r="F1298" s="55" t="s">
        <v>292</v>
      </c>
      <c r="G1298" s="56" t="n">
        <v>0.2</v>
      </c>
      <c r="H1298" s="57" t="n">
        <f aca="false">G1298*8/$D$1294</f>
        <v>0.016</v>
      </c>
      <c r="I1298" s="28" t="n">
        <v>28.94</v>
      </c>
      <c r="J1298" s="28" t="n">
        <f aca="false">H1298*I1298</f>
        <v>0.46304</v>
      </c>
    </row>
    <row r="1299" customFormat="false" ht="15" hidden="false" customHeight="false" outlineLevel="0" collapsed="false">
      <c r="F1299" s="55"/>
      <c r="G1299" s="56"/>
      <c r="H1299" s="57"/>
      <c r="I1299" s="28"/>
      <c r="J1299" s="53" t="n">
        <f aca="false">SUM(J1297:J1298)</f>
        <v>3.24144</v>
      </c>
    </row>
    <row r="1300" customFormat="false" ht="15" hidden="false" customHeight="false" outlineLevel="0" collapsed="false">
      <c r="B1300" s="54" t="s">
        <v>295</v>
      </c>
      <c r="F1300" s="55"/>
    </row>
    <row r="1301" customFormat="false" ht="15" hidden="false" customHeight="false" outlineLevel="0" collapsed="false">
      <c r="B1301" s="1" t="s">
        <v>730</v>
      </c>
      <c r="F1301" s="55" t="s">
        <v>134</v>
      </c>
      <c r="H1301" s="57" t="n">
        <v>0.05</v>
      </c>
      <c r="I1301" s="28" t="n">
        <v>18</v>
      </c>
      <c r="J1301" s="28" t="n">
        <f aca="false">H1301*I1301</f>
        <v>0.9</v>
      </c>
    </row>
    <row r="1302" customFormat="false" ht="15" hidden="false" customHeight="false" outlineLevel="0" collapsed="false">
      <c r="B1302" s="1" t="s">
        <v>731</v>
      </c>
      <c r="F1302" s="55" t="s">
        <v>440</v>
      </c>
      <c r="H1302" s="57" t="n">
        <v>0.1</v>
      </c>
      <c r="I1302" s="28" t="n">
        <v>150</v>
      </c>
      <c r="J1302" s="28" t="n">
        <f aca="false">H1302*I1302</f>
        <v>15</v>
      </c>
    </row>
    <row r="1303" customFormat="false" ht="15" hidden="false" customHeight="false" outlineLevel="0" collapsed="false">
      <c r="J1303" s="53" t="n">
        <f aca="false">SUM(J1301:J1302)</f>
        <v>15.9</v>
      </c>
    </row>
    <row r="1304" customFormat="false" ht="15" hidden="false" customHeight="false" outlineLevel="0" collapsed="false">
      <c r="B1304" s="54" t="s">
        <v>318</v>
      </c>
    </row>
    <row r="1305" customFormat="false" ht="15" hidden="false" customHeight="false" outlineLevel="0" collapsed="false">
      <c r="B1305" s="1" t="s">
        <v>311</v>
      </c>
      <c r="F1305" s="55" t="s">
        <v>312</v>
      </c>
      <c r="H1305" s="57" t="n">
        <v>3</v>
      </c>
      <c r="I1305" s="28" t="n">
        <f aca="false">J1299</f>
        <v>3.24144</v>
      </c>
      <c r="J1305" s="28" t="n">
        <f aca="false">H1305%*I1305</f>
        <v>0.0972432</v>
      </c>
    </row>
    <row r="1306" customFormat="false" ht="15" hidden="false" customHeight="false" outlineLevel="0" collapsed="false">
      <c r="A1306" s="60"/>
      <c r="B1306" s="60"/>
      <c r="C1306" s="60"/>
      <c r="D1306" s="60"/>
      <c r="E1306" s="60"/>
      <c r="F1306" s="60"/>
      <c r="G1306" s="60"/>
      <c r="H1306" s="60"/>
      <c r="I1306" s="60"/>
      <c r="J1306" s="61" t="n">
        <f aca="false">SUM(J1305)</f>
        <v>0.0972432</v>
      </c>
    </row>
    <row r="1308" customFormat="false" ht="15" hidden="false" customHeight="false" outlineLevel="0" collapsed="false">
      <c r="A1308" s="14" t="s">
        <v>278</v>
      </c>
      <c r="B1308" s="14" t="str">
        <f aca="false">ESTRUCTURA!A104</f>
        <v>02.04.05.01</v>
      </c>
      <c r="C1308" s="14" t="s">
        <v>83</v>
      </c>
      <c r="D1308" s="14"/>
      <c r="E1308" s="14"/>
      <c r="F1308" s="14"/>
      <c r="G1308" s="14"/>
      <c r="H1308" s="14"/>
      <c r="I1308" s="14"/>
    </row>
    <row r="1309" customFormat="false" ht="15" hidden="false" customHeight="false" outlineLevel="0" collapsed="false">
      <c r="A1309" s="14" t="s">
        <v>279</v>
      </c>
      <c r="B1309" s="14" t="s">
        <v>326</v>
      </c>
      <c r="C1309" s="36" t="s">
        <v>281</v>
      </c>
      <c r="D1309" s="52" t="n">
        <v>1</v>
      </c>
      <c r="E1309" s="36" t="s">
        <v>282</v>
      </c>
      <c r="F1309" s="52" t="n">
        <f aca="false">D1309</f>
        <v>1</v>
      </c>
      <c r="G1309" s="14" t="s">
        <v>283</v>
      </c>
      <c r="I1309" s="36" t="s">
        <v>150</v>
      </c>
      <c r="J1309" s="53" t="n">
        <f aca="false">J1313</f>
        <v>69.41</v>
      </c>
    </row>
    <row r="1310" customFormat="false" ht="15" hidden="false" customHeight="false" outlineLevel="0" collapsed="false">
      <c r="A1310" s="14" t="s">
        <v>284</v>
      </c>
      <c r="B1310" s="14" t="s">
        <v>285</v>
      </c>
      <c r="F1310" s="36" t="s">
        <v>123</v>
      </c>
      <c r="G1310" s="36" t="s">
        <v>286</v>
      </c>
      <c r="H1310" s="36" t="s">
        <v>287</v>
      </c>
      <c r="I1310" s="36" t="s">
        <v>288</v>
      </c>
      <c r="J1310" s="36" t="s">
        <v>289</v>
      </c>
      <c r="M1310" s="103"/>
    </row>
    <row r="1311" customFormat="false" ht="15" hidden="false" customHeight="false" outlineLevel="0" collapsed="false">
      <c r="B1311" s="54" t="s">
        <v>295</v>
      </c>
    </row>
    <row r="1312" customFormat="false" ht="15" hidden="false" customHeight="false" outlineLevel="0" collapsed="false">
      <c r="B1312" s="1" t="s">
        <v>83</v>
      </c>
      <c r="F1312" s="55" t="s">
        <v>150</v>
      </c>
      <c r="G1312" s="56"/>
      <c r="H1312" s="57" t="n">
        <v>1</v>
      </c>
      <c r="I1312" s="1" t="n">
        <v>69.41</v>
      </c>
      <c r="J1312" s="28" t="n">
        <f aca="false">H1312*I1312</f>
        <v>69.41</v>
      </c>
    </row>
    <row r="1313" customFormat="false" ht="15" hidden="false" customHeight="false" outlineLevel="0" collapsed="false">
      <c r="A1313" s="60"/>
      <c r="B1313" s="60"/>
      <c r="C1313" s="60"/>
      <c r="D1313" s="60"/>
      <c r="E1313" s="60"/>
      <c r="F1313" s="60"/>
      <c r="G1313" s="60"/>
      <c r="H1313" s="60"/>
      <c r="I1313" s="60"/>
      <c r="J1313" s="61" t="n">
        <f aca="false">SUM(J1312)</f>
        <v>69.41</v>
      </c>
    </row>
    <row r="1315" customFormat="false" ht="15" hidden="false" customHeight="false" outlineLevel="0" collapsed="false">
      <c r="A1315" s="14" t="s">
        <v>278</v>
      </c>
      <c r="B1315" s="14" t="str">
        <f aca="false">ESTRUCTURA!A106</f>
        <v>02.04.06.01</v>
      </c>
      <c r="C1315" s="14" t="s">
        <v>642</v>
      </c>
      <c r="D1315" s="14"/>
      <c r="M1315" s="82" t="s">
        <v>334</v>
      </c>
      <c r="N1315" s="103" t="n">
        <f aca="false">A1319</f>
        <v>100000000001</v>
      </c>
      <c r="O1315" s="82" t="s">
        <v>736</v>
      </c>
      <c r="P1315" s="82"/>
    </row>
    <row r="1316" customFormat="false" ht="15" hidden="false" customHeight="false" outlineLevel="0" collapsed="false">
      <c r="A1316" s="14" t="s">
        <v>279</v>
      </c>
      <c r="B1316" s="14" t="s">
        <v>417</v>
      </c>
      <c r="C1316" s="36" t="s">
        <v>281</v>
      </c>
      <c r="D1316" s="52" t="n">
        <v>187.5</v>
      </c>
      <c r="E1316" s="36" t="s">
        <v>282</v>
      </c>
      <c r="F1316" s="52" t="n">
        <f aca="false">D1316</f>
        <v>187.5</v>
      </c>
      <c r="G1316" s="14" t="s">
        <v>283</v>
      </c>
      <c r="I1316" s="36" t="s">
        <v>204</v>
      </c>
      <c r="J1316" s="53" t="n">
        <f aca="false">J1322</f>
        <v>1489.7348144</v>
      </c>
      <c r="M1316" s="82" t="s">
        <v>279</v>
      </c>
      <c r="N1316" s="82" t="s">
        <v>280</v>
      </c>
      <c r="O1316" s="84" t="s">
        <v>281</v>
      </c>
      <c r="P1316" s="85" t="n">
        <v>10</v>
      </c>
      <c r="Q1316" s="84" t="s">
        <v>282</v>
      </c>
      <c r="R1316" s="85" t="n">
        <f aca="false">P1316</f>
        <v>10</v>
      </c>
      <c r="S1316" s="82" t="s">
        <v>283</v>
      </c>
      <c r="U1316" s="84" t="s">
        <v>134</v>
      </c>
      <c r="V1316" s="86" t="n">
        <f aca="false">V1322+V1327+V1330</f>
        <v>76.55778</v>
      </c>
    </row>
    <row r="1317" customFormat="false" ht="15" hidden="false" customHeight="false" outlineLevel="0" collapsed="false">
      <c r="A1317" s="14" t="s">
        <v>284</v>
      </c>
      <c r="B1317" s="14" t="s">
        <v>285</v>
      </c>
      <c r="F1317" s="36" t="s">
        <v>123</v>
      </c>
      <c r="G1317" s="36" t="s">
        <v>286</v>
      </c>
      <c r="H1317" s="36" t="s">
        <v>287</v>
      </c>
      <c r="I1317" s="36" t="s">
        <v>288</v>
      </c>
      <c r="J1317" s="36" t="s">
        <v>289</v>
      </c>
      <c r="M1317" s="82" t="s">
        <v>284</v>
      </c>
      <c r="N1317" s="82" t="s">
        <v>285</v>
      </c>
      <c r="R1317" s="84" t="s">
        <v>123</v>
      </c>
      <c r="S1317" s="84" t="s">
        <v>286</v>
      </c>
      <c r="T1317" s="84" t="s">
        <v>287</v>
      </c>
      <c r="U1317" s="84" t="s">
        <v>288</v>
      </c>
      <c r="V1317" s="84" t="s">
        <v>289</v>
      </c>
    </row>
    <row r="1318" customFormat="false" ht="15" hidden="false" customHeight="false" outlineLevel="0" collapsed="false">
      <c r="B1318" s="54" t="s">
        <v>737</v>
      </c>
      <c r="N1318" s="87" t="s">
        <v>290</v>
      </c>
    </row>
    <row r="1319" customFormat="false" ht="15" hidden="false" customHeight="false" outlineLevel="0" collapsed="false">
      <c r="A1319" s="104" t="n">
        <v>100000000001</v>
      </c>
      <c r="B1319" s="1" t="s">
        <v>736</v>
      </c>
      <c r="F1319" s="55" t="s">
        <v>134</v>
      </c>
      <c r="H1319" s="57" t="n">
        <v>6.88</v>
      </c>
      <c r="I1319" s="28" t="n">
        <f aca="false">V1316</f>
        <v>76.55778</v>
      </c>
      <c r="J1319" s="28" t="n">
        <f aca="false">H1319*I1319</f>
        <v>526.7175264</v>
      </c>
      <c r="N1319" s="1" t="s">
        <v>291</v>
      </c>
      <c r="R1319" s="55" t="s">
        <v>292</v>
      </c>
      <c r="S1319" s="56" t="n">
        <v>1</v>
      </c>
      <c r="T1319" s="57" t="n">
        <f aca="false">S1319*8/$P$1316</f>
        <v>0.8</v>
      </c>
      <c r="U1319" s="28" t="n">
        <v>28.94</v>
      </c>
      <c r="V1319" s="28" t="n">
        <f aca="false">T1319*U1319</f>
        <v>23.152</v>
      </c>
    </row>
    <row r="1320" customFormat="false" ht="15" hidden="false" customHeight="false" outlineLevel="0" collapsed="false">
      <c r="A1320" s="104" t="n">
        <v>100000000002</v>
      </c>
      <c r="B1320" s="1" t="s">
        <v>738</v>
      </c>
      <c r="F1320" s="55" t="s">
        <v>204</v>
      </c>
      <c r="G1320" s="56"/>
      <c r="H1320" s="57" t="n">
        <v>0.95</v>
      </c>
      <c r="I1320" s="28" t="n">
        <f aca="false">V1333</f>
        <v>469.75504</v>
      </c>
      <c r="J1320" s="28" t="n">
        <f aca="false">H1320*I1320</f>
        <v>446.267288</v>
      </c>
      <c r="N1320" s="1" t="s">
        <v>293</v>
      </c>
      <c r="R1320" s="55" t="s">
        <v>292</v>
      </c>
      <c r="S1320" s="56" t="n">
        <v>1</v>
      </c>
      <c r="T1320" s="57" t="n">
        <f aca="false">S1320*8/$P$1316</f>
        <v>0.8</v>
      </c>
      <c r="U1320" s="28" t="n">
        <v>23.6</v>
      </c>
      <c r="V1320" s="28" t="n">
        <f aca="false">T1320*U1320</f>
        <v>18.88</v>
      </c>
    </row>
    <row r="1321" customFormat="false" ht="15" hidden="false" customHeight="false" outlineLevel="0" collapsed="false">
      <c r="A1321" s="104" t="n">
        <v>100000000003</v>
      </c>
      <c r="B1321" s="1" t="s">
        <v>739</v>
      </c>
      <c r="F1321" s="55" t="s">
        <v>297</v>
      </c>
      <c r="H1321" s="1" t="n">
        <v>79.5</v>
      </c>
      <c r="I1321" s="28" t="n">
        <v>6.5</v>
      </c>
      <c r="J1321" s="28" t="n">
        <f aca="false">H1321*I1321</f>
        <v>516.75</v>
      </c>
      <c r="N1321" s="1" t="s">
        <v>294</v>
      </c>
      <c r="R1321" s="55" t="s">
        <v>292</v>
      </c>
      <c r="S1321" s="56" t="n">
        <v>0.5</v>
      </c>
      <c r="T1321" s="57" t="n">
        <f aca="false">S1321*8/$P$1316</f>
        <v>0.4</v>
      </c>
      <c r="U1321" s="28" t="n">
        <v>21.36</v>
      </c>
      <c r="V1321" s="28" t="n">
        <f aca="false">T1321*U1321</f>
        <v>8.544</v>
      </c>
    </row>
    <row r="1322" customFormat="false" ht="15" hidden="false" customHeight="false" outlineLevel="0" collapsed="false">
      <c r="A1322" s="60"/>
      <c r="B1322" s="60"/>
      <c r="C1322" s="60"/>
      <c r="D1322" s="60"/>
      <c r="E1322" s="60"/>
      <c r="F1322" s="60"/>
      <c r="G1322" s="60"/>
      <c r="H1322" s="60"/>
      <c r="I1322" s="80"/>
      <c r="J1322" s="61" t="n">
        <f aca="false">SUM(J1319:J1321)</f>
        <v>1489.7348144</v>
      </c>
      <c r="R1322" s="55"/>
      <c r="S1322" s="56"/>
      <c r="T1322" s="57"/>
      <c r="V1322" s="86" t="n">
        <f aca="false">SUM(V1319:V1321)</f>
        <v>50.576</v>
      </c>
    </row>
    <row r="1323" customFormat="false" ht="15" hidden="false" customHeight="false" outlineLevel="0" collapsed="false">
      <c r="N1323" s="87" t="s">
        <v>654</v>
      </c>
      <c r="R1323" s="55"/>
      <c r="S1323" s="56"/>
      <c r="T1323" s="57"/>
      <c r="V1323" s="28"/>
    </row>
    <row r="1324" customFormat="false" ht="15" hidden="false" customHeight="false" outlineLevel="0" collapsed="false">
      <c r="A1324" s="14" t="s">
        <v>278</v>
      </c>
      <c r="B1324" s="14" t="str">
        <f aca="false">ESTRUCTURA!A107</f>
        <v>02.04.06.02</v>
      </c>
      <c r="C1324" s="14" t="s">
        <v>740</v>
      </c>
      <c r="D1324" s="14"/>
      <c r="N1324" s="1" t="s">
        <v>689</v>
      </c>
      <c r="R1324" s="55" t="s">
        <v>297</v>
      </c>
      <c r="T1324" s="57" t="n">
        <v>0.1</v>
      </c>
      <c r="U1324" s="28" t="n">
        <v>2.64</v>
      </c>
      <c r="V1324" s="28" t="n">
        <f aca="false">T1324*U1324</f>
        <v>0.264</v>
      </c>
    </row>
    <row r="1325" customFormat="false" ht="15" hidden="false" customHeight="false" outlineLevel="0" collapsed="false">
      <c r="A1325" s="14" t="s">
        <v>279</v>
      </c>
      <c r="B1325" s="14" t="s">
        <v>417</v>
      </c>
      <c r="C1325" s="36" t="s">
        <v>281</v>
      </c>
      <c r="D1325" s="52" t="n">
        <v>187.5</v>
      </c>
      <c r="E1325" s="36" t="s">
        <v>282</v>
      </c>
      <c r="F1325" s="52" t="n">
        <f aca="false">D1325</f>
        <v>187.5</v>
      </c>
      <c r="G1325" s="14" t="s">
        <v>283</v>
      </c>
      <c r="I1325" s="36" t="s">
        <v>204</v>
      </c>
      <c r="J1325" s="53" t="n">
        <f aca="false">J1331</f>
        <v>1583.5817404</v>
      </c>
      <c r="N1325" s="1" t="s">
        <v>302</v>
      </c>
      <c r="R1325" s="55" t="s">
        <v>297</v>
      </c>
      <c r="T1325" s="57" t="n">
        <v>0.15</v>
      </c>
      <c r="U1325" s="28" t="n">
        <v>5.51</v>
      </c>
      <c r="V1325" s="28" t="n">
        <f aca="false">T1325*U1325</f>
        <v>0.8265</v>
      </c>
    </row>
    <row r="1326" customFormat="false" ht="15" hidden="false" customHeight="false" outlineLevel="0" collapsed="false">
      <c r="A1326" s="14" t="s">
        <v>284</v>
      </c>
      <c r="B1326" s="14" t="s">
        <v>285</v>
      </c>
      <c r="F1326" s="36" t="s">
        <v>123</v>
      </c>
      <c r="G1326" s="36" t="s">
        <v>286</v>
      </c>
      <c r="H1326" s="36" t="s">
        <v>287</v>
      </c>
      <c r="I1326" s="36" t="s">
        <v>288</v>
      </c>
      <c r="J1326" s="36" t="s">
        <v>289</v>
      </c>
      <c r="N1326" s="1" t="s">
        <v>670</v>
      </c>
      <c r="R1326" s="55" t="s">
        <v>306</v>
      </c>
      <c r="T1326" s="57" t="n">
        <v>4.03</v>
      </c>
      <c r="U1326" s="28" t="n">
        <v>5.8</v>
      </c>
      <c r="V1326" s="28" t="n">
        <f aca="false">T1326*U1326</f>
        <v>23.374</v>
      </c>
    </row>
    <row r="1327" customFormat="false" ht="15" hidden="false" customHeight="false" outlineLevel="0" collapsed="false">
      <c r="B1327" s="54" t="s">
        <v>737</v>
      </c>
      <c r="R1327" s="55"/>
      <c r="T1327" s="57"/>
      <c r="U1327" s="28"/>
      <c r="V1327" s="86" t="n">
        <f aca="false">SUM(V1324:V1326)</f>
        <v>24.4645</v>
      </c>
    </row>
    <row r="1328" customFormat="false" ht="15" hidden="false" customHeight="false" outlineLevel="0" collapsed="false">
      <c r="A1328" s="104" t="n">
        <v>100000000004</v>
      </c>
      <c r="B1328" s="1" t="s">
        <v>741</v>
      </c>
      <c r="F1328" s="55" t="s">
        <v>134</v>
      </c>
      <c r="H1328" s="1" t="n">
        <v>6.88</v>
      </c>
      <c r="I1328" s="28" t="n">
        <f aca="false">V1367</f>
        <v>79.24338</v>
      </c>
      <c r="J1328" s="28" t="n">
        <f aca="false">H1328*I1328</f>
        <v>545.1944544</v>
      </c>
      <c r="N1328" s="87" t="s">
        <v>310</v>
      </c>
    </row>
    <row r="1329" customFormat="false" ht="15" hidden="false" customHeight="false" outlineLevel="0" collapsed="false">
      <c r="A1329" s="104" t="n">
        <v>100000000005</v>
      </c>
      <c r="B1329" s="1" t="s">
        <v>742</v>
      </c>
      <c r="F1329" s="55" t="s">
        <v>204</v>
      </c>
      <c r="G1329" s="56"/>
      <c r="H1329" s="1" t="n">
        <v>0.95</v>
      </c>
      <c r="I1329" s="28" t="n">
        <f aca="false">V1384</f>
        <v>549.09188</v>
      </c>
      <c r="J1329" s="28" t="n">
        <f aca="false">H1329*I1329</f>
        <v>521.637286</v>
      </c>
      <c r="N1329" s="1" t="s">
        <v>311</v>
      </c>
      <c r="R1329" s="55" t="s">
        <v>312</v>
      </c>
      <c r="T1329" s="57" t="n">
        <v>3</v>
      </c>
      <c r="U1329" s="28" t="n">
        <f aca="false">V1322</f>
        <v>50.576</v>
      </c>
      <c r="V1329" s="28" t="n">
        <f aca="false">T1329%*U1329</f>
        <v>1.51728</v>
      </c>
    </row>
    <row r="1330" customFormat="false" ht="15" hidden="false" customHeight="false" outlineLevel="0" collapsed="false">
      <c r="A1330" s="104" t="n">
        <v>100000000006</v>
      </c>
      <c r="B1330" s="1" t="s">
        <v>743</v>
      </c>
      <c r="F1330" s="55" t="s">
        <v>297</v>
      </c>
      <c r="H1330" s="1" t="n">
        <v>79.5</v>
      </c>
      <c r="I1330" s="28" t="n">
        <v>6.5</v>
      </c>
      <c r="J1330" s="28" t="n">
        <f aca="false">H1330*I1330</f>
        <v>516.75</v>
      </c>
      <c r="M1330" s="60"/>
      <c r="N1330" s="60"/>
      <c r="O1330" s="60"/>
      <c r="P1330" s="60"/>
      <c r="Q1330" s="60"/>
      <c r="R1330" s="60"/>
      <c r="S1330" s="60"/>
      <c r="T1330" s="60"/>
      <c r="U1330" s="60"/>
      <c r="V1330" s="89" t="n">
        <f aca="false">SUM(V1329)</f>
        <v>1.51728</v>
      </c>
    </row>
    <row r="1331" customFormat="false" ht="15" hidden="false" customHeight="false" outlineLevel="0" collapsed="false">
      <c r="A1331" s="60"/>
      <c r="B1331" s="60"/>
      <c r="C1331" s="60"/>
      <c r="D1331" s="60"/>
      <c r="E1331" s="60"/>
      <c r="F1331" s="60"/>
      <c r="G1331" s="60"/>
      <c r="H1331" s="60"/>
      <c r="I1331" s="80"/>
      <c r="J1331" s="61" t="n">
        <f aca="false">SUM(J1328:J1330)</f>
        <v>1583.5817404</v>
      </c>
    </row>
    <row r="1332" customFormat="false" ht="15" hidden="false" customHeight="false" outlineLevel="0" collapsed="false">
      <c r="M1332" s="82" t="s">
        <v>334</v>
      </c>
      <c r="N1332" s="103" t="n">
        <f aca="false">A1320</f>
        <v>100000000002</v>
      </c>
      <c r="O1332" s="82" t="s">
        <v>738</v>
      </c>
      <c r="P1332" s="82"/>
    </row>
    <row r="1333" customFormat="false" ht="15" hidden="false" customHeight="false" outlineLevel="0" collapsed="false">
      <c r="F1333" s="55"/>
      <c r="M1333" s="82" t="s">
        <v>279</v>
      </c>
      <c r="N1333" s="82" t="s">
        <v>417</v>
      </c>
      <c r="O1333" s="84" t="s">
        <v>281</v>
      </c>
      <c r="P1333" s="85" t="n">
        <v>20</v>
      </c>
      <c r="Q1333" s="84" t="s">
        <v>282</v>
      </c>
      <c r="R1333" s="85" t="n">
        <f aca="false">P1333</f>
        <v>20</v>
      </c>
      <c r="S1333" s="82" t="s">
        <v>283</v>
      </c>
      <c r="U1333" s="84" t="s">
        <v>204</v>
      </c>
      <c r="V1333" s="86" t="n">
        <f aca="false">V1339+V1344+V1348</f>
        <v>469.75504</v>
      </c>
    </row>
    <row r="1334" customFormat="false" ht="15" hidden="false" customHeight="false" outlineLevel="0" collapsed="false">
      <c r="A1334" s="14" t="s">
        <v>278</v>
      </c>
      <c r="B1334" s="14" t="str">
        <f aca="false">ESTRUCTURA!A108</f>
        <v>02.04.06.03</v>
      </c>
      <c r="C1334" s="14" t="s">
        <v>646</v>
      </c>
      <c r="D1334" s="14"/>
      <c r="M1334" s="82" t="s">
        <v>284</v>
      </c>
      <c r="N1334" s="82" t="s">
        <v>285</v>
      </c>
      <c r="R1334" s="84" t="s">
        <v>123</v>
      </c>
      <c r="S1334" s="84" t="s">
        <v>286</v>
      </c>
      <c r="T1334" s="84" t="s">
        <v>287</v>
      </c>
      <c r="U1334" s="84" t="s">
        <v>288</v>
      </c>
      <c r="V1334" s="84" t="s">
        <v>289</v>
      </c>
    </row>
    <row r="1335" customFormat="false" ht="15" hidden="false" customHeight="false" outlineLevel="0" collapsed="false">
      <c r="A1335" s="14" t="s">
        <v>279</v>
      </c>
      <c r="B1335" s="14" t="s">
        <v>417</v>
      </c>
      <c r="C1335" s="36" t="s">
        <v>281</v>
      </c>
      <c r="D1335" s="52" t="n">
        <v>187.5</v>
      </c>
      <c r="E1335" s="36" t="s">
        <v>282</v>
      </c>
      <c r="F1335" s="52" t="n">
        <f aca="false">D1335</f>
        <v>187.5</v>
      </c>
      <c r="G1335" s="14" t="s">
        <v>283</v>
      </c>
      <c r="I1335" s="36" t="s">
        <v>204</v>
      </c>
      <c r="J1335" s="53" t="n">
        <f aca="false">J1341</f>
        <v>107.845655777778</v>
      </c>
      <c r="N1335" s="87" t="s">
        <v>290</v>
      </c>
    </row>
    <row r="1336" customFormat="false" ht="15" hidden="false" customHeight="false" outlineLevel="0" collapsed="false">
      <c r="A1336" s="14" t="s">
        <v>284</v>
      </c>
      <c r="B1336" s="14" t="s">
        <v>285</v>
      </c>
      <c r="F1336" s="36" t="s">
        <v>123</v>
      </c>
      <c r="G1336" s="36" t="s">
        <v>286</v>
      </c>
      <c r="H1336" s="36" t="s">
        <v>287</v>
      </c>
      <c r="I1336" s="36" t="s">
        <v>288</v>
      </c>
      <c r="J1336" s="36" t="s">
        <v>289</v>
      </c>
      <c r="N1336" s="1" t="s">
        <v>291</v>
      </c>
      <c r="R1336" s="55" t="s">
        <v>292</v>
      </c>
      <c r="S1336" s="56" t="n">
        <v>2</v>
      </c>
      <c r="T1336" s="57" t="n">
        <f aca="false">S1336*8/$P$1333</f>
        <v>0.8</v>
      </c>
      <c r="U1336" s="28" t="n">
        <v>28.94</v>
      </c>
      <c r="V1336" s="28" t="n">
        <f aca="false">T1336*U1336</f>
        <v>23.152</v>
      </c>
    </row>
    <row r="1337" customFormat="false" ht="15" hidden="false" customHeight="false" outlineLevel="0" collapsed="false">
      <c r="B1337" s="54" t="s">
        <v>737</v>
      </c>
      <c r="N1337" s="1" t="s">
        <v>293</v>
      </c>
      <c r="R1337" s="55" t="s">
        <v>292</v>
      </c>
      <c r="S1337" s="56" t="n">
        <v>1</v>
      </c>
      <c r="T1337" s="57" t="n">
        <f aca="false">S1337*8/$P$1333</f>
        <v>0.4</v>
      </c>
      <c r="U1337" s="28" t="n">
        <v>23.6</v>
      </c>
      <c r="V1337" s="28" t="n">
        <f aca="false">T1337*U1337</f>
        <v>9.44</v>
      </c>
    </row>
    <row r="1338" customFormat="false" ht="15" hidden="false" customHeight="false" outlineLevel="0" collapsed="false">
      <c r="A1338" s="104" t="n">
        <v>100000000007</v>
      </c>
      <c r="B1338" s="1" t="s">
        <v>744</v>
      </c>
      <c r="F1338" s="55" t="s">
        <v>134</v>
      </c>
      <c r="H1338" s="1" t="n">
        <v>0.4</v>
      </c>
      <c r="I1338" s="28" t="n">
        <f aca="false">V1421</f>
        <v>79.0168444444444</v>
      </c>
      <c r="J1338" s="28" t="n">
        <f aca="false">H1338*I1338</f>
        <v>31.6067377777778</v>
      </c>
      <c r="N1338" s="1" t="s">
        <v>294</v>
      </c>
      <c r="R1338" s="55" t="s">
        <v>292</v>
      </c>
      <c r="S1338" s="56" t="n">
        <v>4</v>
      </c>
      <c r="T1338" s="57" t="n">
        <f aca="false">S1338*8/$P$1333</f>
        <v>1.6</v>
      </c>
      <c r="U1338" s="28" t="n">
        <v>21.36</v>
      </c>
      <c r="V1338" s="28" t="n">
        <f aca="false">T1338*U1338</f>
        <v>34.176</v>
      </c>
    </row>
    <row r="1339" customFormat="false" ht="15" hidden="false" customHeight="false" outlineLevel="0" collapsed="false">
      <c r="A1339" s="104" t="n">
        <v>100000000008</v>
      </c>
      <c r="B1339" s="1" t="s">
        <v>745</v>
      </c>
      <c r="F1339" s="55" t="s">
        <v>204</v>
      </c>
      <c r="H1339" s="1" t="n">
        <v>0.05</v>
      </c>
      <c r="I1339" s="28" t="n">
        <f aca="false">V1437</f>
        <v>419.77836</v>
      </c>
      <c r="J1339" s="28" t="n">
        <f aca="false">H1339*I1339</f>
        <v>20.988918</v>
      </c>
      <c r="R1339" s="55"/>
      <c r="S1339" s="56"/>
      <c r="T1339" s="57"/>
      <c r="V1339" s="86" t="n">
        <f aca="false">SUM(V1336:V1338)</f>
        <v>66.768</v>
      </c>
    </row>
    <row r="1340" customFormat="false" ht="15" hidden="false" customHeight="false" outlineLevel="0" collapsed="false">
      <c r="A1340" s="104" t="n">
        <v>100000000009</v>
      </c>
      <c r="B1340" s="1" t="s">
        <v>746</v>
      </c>
      <c r="F1340" s="55" t="s">
        <v>297</v>
      </c>
      <c r="G1340" s="56"/>
      <c r="H1340" s="57" t="n">
        <v>8.5</v>
      </c>
      <c r="I1340" s="28" t="n">
        <v>6.5</v>
      </c>
      <c r="J1340" s="28" t="n">
        <f aca="false">H1340*I1340</f>
        <v>55.25</v>
      </c>
      <c r="N1340" s="87" t="s">
        <v>654</v>
      </c>
      <c r="R1340" s="55"/>
      <c r="S1340" s="56"/>
      <c r="T1340" s="57"/>
      <c r="V1340" s="28"/>
    </row>
    <row r="1341" customFormat="false" ht="15" hidden="false" customHeight="false" outlineLevel="0" collapsed="false">
      <c r="A1341" s="60"/>
      <c r="B1341" s="60"/>
      <c r="C1341" s="60"/>
      <c r="D1341" s="60"/>
      <c r="E1341" s="60"/>
      <c r="F1341" s="60"/>
      <c r="G1341" s="60"/>
      <c r="H1341" s="60"/>
      <c r="I1341" s="80"/>
      <c r="J1341" s="61" t="n">
        <f aca="false">SUM(J1338:J1340)</f>
        <v>107.845655777778</v>
      </c>
      <c r="N1341" s="102" t="s">
        <v>722</v>
      </c>
      <c r="R1341" s="55" t="s">
        <v>204</v>
      </c>
      <c r="T1341" s="57" t="n">
        <v>0.1</v>
      </c>
      <c r="U1341" s="28" t="n">
        <v>24.52</v>
      </c>
      <c r="V1341" s="28" t="n">
        <f aca="false">T1341*U1341</f>
        <v>2.452</v>
      </c>
    </row>
    <row r="1342" customFormat="false" ht="15" hidden="false" customHeight="false" outlineLevel="0" collapsed="false">
      <c r="N1342" s="102" t="s">
        <v>723</v>
      </c>
      <c r="R1342" s="55" t="s">
        <v>204</v>
      </c>
      <c r="T1342" s="57" t="n">
        <v>1.02</v>
      </c>
      <c r="U1342" s="28" t="n">
        <v>358</v>
      </c>
      <c r="V1342" s="28" t="n">
        <f aca="false">T1342*U1342</f>
        <v>365.16</v>
      </c>
    </row>
    <row r="1343" customFormat="false" ht="15" hidden="false" customHeight="false" outlineLevel="0" collapsed="false">
      <c r="N1343" s="102" t="s">
        <v>724</v>
      </c>
      <c r="R1343" s="55" t="s">
        <v>308</v>
      </c>
      <c r="T1343" s="57" t="n">
        <v>1.02</v>
      </c>
      <c r="U1343" s="28" t="n">
        <v>30</v>
      </c>
      <c r="V1343" s="28" t="n">
        <f aca="false">T1343*U1343</f>
        <v>30.6</v>
      </c>
    </row>
    <row r="1344" customFormat="false" ht="15" hidden="false" customHeight="false" outlineLevel="0" collapsed="false">
      <c r="F1344" s="55"/>
      <c r="R1344" s="55"/>
      <c r="T1344" s="57"/>
      <c r="U1344" s="28"/>
      <c r="V1344" s="86" t="n">
        <f aca="false">SUM(V1341:V1343)</f>
        <v>398.212</v>
      </c>
    </row>
    <row r="1345" customFormat="false" ht="15" hidden="false" customHeight="false" outlineLevel="0" collapsed="false">
      <c r="F1345" s="55"/>
      <c r="N1345" s="87" t="s">
        <v>310</v>
      </c>
    </row>
    <row r="1346" customFormat="false" ht="15" hidden="false" customHeight="false" outlineLevel="0" collapsed="false">
      <c r="F1346" s="55"/>
      <c r="G1346" s="56"/>
      <c r="H1346" s="57"/>
      <c r="I1346" s="28"/>
      <c r="J1346" s="28"/>
      <c r="N1346" s="1" t="s">
        <v>311</v>
      </c>
      <c r="R1346" s="55" t="s">
        <v>312</v>
      </c>
      <c r="T1346" s="57" t="n">
        <v>3</v>
      </c>
      <c r="U1346" s="28" t="n">
        <f aca="false">V1339</f>
        <v>66.768</v>
      </c>
      <c r="V1346" s="28" t="n">
        <f aca="false">T1346%*U1346</f>
        <v>2.00304</v>
      </c>
    </row>
    <row r="1347" customFormat="false" ht="15" hidden="false" customHeight="false" outlineLevel="0" collapsed="false">
      <c r="N1347" s="102" t="s">
        <v>725</v>
      </c>
      <c r="R1347" s="55" t="s">
        <v>338</v>
      </c>
      <c r="S1347" s="56" t="n">
        <v>1</v>
      </c>
      <c r="T1347" s="57" t="n">
        <f aca="false">S1347*8/$P$1333</f>
        <v>0.4</v>
      </c>
      <c r="U1347" s="28" t="n">
        <v>6.93</v>
      </c>
      <c r="V1347" s="28" t="n">
        <f aca="false">T1347*U1347</f>
        <v>2.772</v>
      </c>
    </row>
    <row r="1348" customFormat="false" ht="15" hidden="false" customHeight="false" outlineLevel="0" collapsed="false">
      <c r="M1348" s="60"/>
      <c r="N1348" s="60"/>
      <c r="O1348" s="60"/>
      <c r="P1348" s="60"/>
      <c r="Q1348" s="60"/>
      <c r="R1348" s="60"/>
      <c r="S1348" s="60"/>
      <c r="T1348" s="60"/>
      <c r="U1348" s="60"/>
      <c r="V1348" s="89" t="n">
        <f aca="false">SUM(V1346:V1347)</f>
        <v>4.77504</v>
      </c>
    </row>
    <row r="1350" customFormat="false" ht="15" hidden="false" customHeight="false" outlineLevel="0" collapsed="false">
      <c r="M1350" s="82" t="s">
        <v>334</v>
      </c>
      <c r="N1350" s="103" t="n">
        <f aca="false">A1321</f>
        <v>100000000003</v>
      </c>
      <c r="O1350" s="82" t="s">
        <v>739</v>
      </c>
      <c r="P1350" s="82"/>
    </row>
    <row r="1351" customFormat="false" ht="15" hidden="false" customHeight="false" outlineLevel="0" collapsed="false">
      <c r="M1351" s="82" t="s">
        <v>279</v>
      </c>
      <c r="N1351" s="82" t="s">
        <v>280</v>
      </c>
      <c r="O1351" s="84" t="s">
        <v>281</v>
      </c>
      <c r="P1351" s="85" t="n">
        <v>250</v>
      </c>
      <c r="Q1351" s="84" t="s">
        <v>282</v>
      </c>
      <c r="R1351" s="85" t="n">
        <f aca="false">P1351</f>
        <v>250</v>
      </c>
      <c r="S1351" s="82" t="s">
        <v>283</v>
      </c>
      <c r="U1351" s="84" t="s">
        <v>134</v>
      </c>
      <c r="V1351" s="86" t="n">
        <f aca="false">V1356+V1360+V1364</f>
        <v>8.7959184</v>
      </c>
    </row>
    <row r="1352" customFormat="false" ht="15" hidden="false" customHeight="false" outlineLevel="0" collapsed="false">
      <c r="M1352" s="82" t="s">
        <v>284</v>
      </c>
      <c r="N1352" s="82" t="s">
        <v>285</v>
      </c>
      <c r="R1352" s="84" t="s">
        <v>123</v>
      </c>
      <c r="S1352" s="84" t="s">
        <v>286</v>
      </c>
      <c r="T1352" s="84" t="s">
        <v>287</v>
      </c>
      <c r="U1352" s="84" t="s">
        <v>288</v>
      </c>
      <c r="V1352" s="84" t="s">
        <v>289</v>
      </c>
    </row>
    <row r="1353" customFormat="false" ht="15" hidden="false" customHeight="false" outlineLevel="0" collapsed="false">
      <c r="N1353" s="87" t="s">
        <v>290</v>
      </c>
    </row>
    <row r="1354" customFormat="false" ht="15" hidden="false" customHeight="false" outlineLevel="0" collapsed="false">
      <c r="N1354" s="1" t="s">
        <v>291</v>
      </c>
      <c r="R1354" s="55" t="s">
        <v>292</v>
      </c>
      <c r="S1354" s="56" t="n">
        <v>1</v>
      </c>
      <c r="T1354" s="57" t="n">
        <f aca="false">S1354*8/$P$1351</f>
        <v>0.032</v>
      </c>
      <c r="U1354" s="28" t="n">
        <v>28.94</v>
      </c>
      <c r="V1354" s="28" t="n">
        <f aca="false">T1354*U1354</f>
        <v>0.92608</v>
      </c>
    </row>
    <row r="1355" customFormat="false" ht="15" hidden="false" customHeight="false" outlineLevel="0" collapsed="false">
      <c r="N1355" s="1" t="s">
        <v>680</v>
      </c>
      <c r="R1355" s="55" t="s">
        <v>292</v>
      </c>
      <c r="S1355" s="56" t="n">
        <v>1</v>
      </c>
      <c r="T1355" s="57" t="n">
        <f aca="false">S1355*8/$P$1351</f>
        <v>0.032</v>
      </c>
      <c r="U1355" s="28" t="n">
        <v>23.6</v>
      </c>
      <c r="V1355" s="28" t="n">
        <f aca="false">T1355*U1355</f>
        <v>0.7552</v>
      </c>
    </row>
    <row r="1356" customFormat="false" ht="15" hidden="false" customHeight="false" outlineLevel="0" collapsed="false">
      <c r="R1356" s="55"/>
      <c r="S1356" s="56"/>
      <c r="V1356" s="86" t="n">
        <f aca="false">SUM(V1354:V1355)</f>
        <v>1.68128</v>
      </c>
    </row>
    <row r="1357" customFormat="false" ht="15" hidden="false" customHeight="false" outlineLevel="0" collapsed="false">
      <c r="N1357" s="87" t="s">
        <v>295</v>
      </c>
      <c r="R1357" s="55"/>
      <c r="S1357" s="56"/>
      <c r="T1357" s="99"/>
    </row>
    <row r="1358" customFormat="false" ht="15" hidden="false" customHeight="false" outlineLevel="0" collapsed="false">
      <c r="N1358" s="1" t="s">
        <v>296</v>
      </c>
      <c r="R1358" s="55" t="s">
        <v>297</v>
      </c>
      <c r="S1358" s="56"/>
      <c r="T1358" s="99" t="n">
        <v>0.03</v>
      </c>
      <c r="U1358" s="28" t="n">
        <v>2.64</v>
      </c>
      <c r="V1358" s="28" t="n">
        <f aca="false">T1358*U1358</f>
        <v>0.0792</v>
      </c>
    </row>
    <row r="1359" customFormat="false" ht="15" hidden="false" customHeight="false" outlineLevel="0" collapsed="false">
      <c r="N1359" s="1" t="s">
        <v>681</v>
      </c>
      <c r="R1359" s="55" t="s">
        <v>297</v>
      </c>
      <c r="S1359" s="56"/>
      <c r="T1359" s="99" t="n">
        <v>1.05</v>
      </c>
      <c r="U1359" s="28" t="n">
        <v>6.5</v>
      </c>
      <c r="V1359" s="28" t="n">
        <f aca="false">T1359*U1359</f>
        <v>6.825</v>
      </c>
    </row>
    <row r="1360" customFormat="false" ht="15" hidden="false" customHeight="false" outlineLevel="0" collapsed="false">
      <c r="R1360" s="55"/>
      <c r="S1360" s="56"/>
      <c r="V1360" s="86" t="n">
        <f aca="false">SUM(V1358:V1359)</f>
        <v>6.9042</v>
      </c>
    </row>
    <row r="1361" customFormat="false" ht="15" hidden="false" customHeight="false" outlineLevel="0" collapsed="false">
      <c r="N1361" s="87" t="s">
        <v>318</v>
      </c>
      <c r="R1361" s="55"/>
      <c r="S1361" s="56"/>
    </row>
    <row r="1362" customFormat="false" ht="15" hidden="false" customHeight="false" outlineLevel="0" collapsed="false">
      <c r="N1362" s="1" t="s">
        <v>311</v>
      </c>
      <c r="R1362" s="55" t="s">
        <v>312</v>
      </c>
      <c r="T1362" s="57" t="n">
        <v>3</v>
      </c>
      <c r="U1362" s="28" t="n">
        <f aca="false">V1356</f>
        <v>1.68128</v>
      </c>
      <c r="V1362" s="28" t="n">
        <f aca="false">T1362%*U1362</f>
        <v>0.0504384</v>
      </c>
    </row>
    <row r="1363" customFormat="false" ht="15" hidden="false" customHeight="false" outlineLevel="0" collapsed="false">
      <c r="N1363" s="1" t="s">
        <v>682</v>
      </c>
      <c r="R1363" s="55" t="s">
        <v>292</v>
      </c>
      <c r="S1363" s="56" t="n">
        <v>1</v>
      </c>
      <c r="T1363" s="57" t="n">
        <f aca="false">S1363*8/$P$1351</f>
        <v>0.032</v>
      </c>
      <c r="U1363" s="28" t="n">
        <v>5</v>
      </c>
      <c r="V1363" s="28" t="n">
        <f aca="false">T1363*U1363</f>
        <v>0.16</v>
      </c>
    </row>
    <row r="1364" customFormat="false" ht="15" hidden="false" customHeight="false" outlineLevel="0" collapsed="false">
      <c r="M1364" s="60"/>
      <c r="N1364" s="60"/>
      <c r="O1364" s="60"/>
      <c r="P1364" s="60"/>
      <c r="Q1364" s="60"/>
      <c r="R1364" s="60"/>
      <c r="S1364" s="60"/>
      <c r="T1364" s="60"/>
      <c r="U1364" s="60"/>
      <c r="V1364" s="89" t="n">
        <f aca="false">SUM(V1362:V1363)</f>
        <v>0.2104384</v>
      </c>
    </row>
    <row r="1365" customFormat="false" ht="15" hidden="false" customHeight="false" outlineLevel="0" collapsed="false">
      <c r="R1365" s="55"/>
      <c r="T1365" s="57"/>
      <c r="V1365" s="28"/>
    </row>
    <row r="1366" customFormat="false" ht="15" hidden="false" customHeight="false" outlineLevel="0" collapsed="false">
      <c r="M1366" s="82" t="s">
        <v>334</v>
      </c>
      <c r="N1366" s="103" t="n">
        <f aca="false">A1328</f>
        <v>100000000004</v>
      </c>
      <c r="O1366" s="82" t="s">
        <v>747</v>
      </c>
      <c r="P1366" s="82"/>
    </row>
    <row r="1367" customFormat="false" ht="15" hidden="false" customHeight="false" outlineLevel="0" collapsed="false">
      <c r="M1367" s="82" t="s">
        <v>279</v>
      </c>
      <c r="N1367" s="82" t="s">
        <v>280</v>
      </c>
      <c r="O1367" s="84" t="s">
        <v>281</v>
      </c>
      <c r="P1367" s="85" t="n">
        <v>20</v>
      </c>
      <c r="Q1367" s="84" t="s">
        <v>282</v>
      </c>
      <c r="R1367" s="85" t="n">
        <f aca="false">P1367</f>
        <v>20</v>
      </c>
      <c r="S1367" s="82" t="s">
        <v>283</v>
      </c>
      <c r="U1367" s="84" t="s">
        <v>134</v>
      </c>
      <c r="V1367" s="86" t="n">
        <f aca="false">V1373+V1378+V1381</f>
        <v>79.24338</v>
      </c>
    </row>
    <row r="1368" customFormat="false" ht="15" hidden="false" customHeight="false" outlineLevel="0" collapsed="false">
      <c r="M1368" s="82" t="s">
        <v>284</v>
      </c>
      <c r="N1368" s="82" t="s">
        <v>285</v>
      </c>
      <c r="R1368" s="84" t="s">
        <v>123</v>
      </c>
      <c r="S1368" s="84" t="s">
        <v>286</v>
      </c>
      <c r="T1368" s="84" t="s">
        <v>287</v>
      </c>
      <c r="U1368" s="84" t="s">
        <v>288</v>
      </c>
      <c r="V1368" s="84" t="s">
        <v>289</v>
      </c>
    </row>
    <row r="1369" customFormat="false" ht="15" hidden="false" customHeight="false" outlineLevel="0" collapsed="false">
      <c r="N1369" s="87" t="s">
        <v>290</v>
      </c>
    </row>
    <row r="1370" customFormat="false" ht="15" hidden="false" customHeight="false" outlineLevel="0" collapsed="false">
      <c r="N1370" s="1" t="s">
        <v>291</v>
      </c>
      <c r="R1370" s="55" t="s">
        <v>292</v>
      </c>
      <c r="S1370" s="56" t="n">
        <v>2</v>
      </c>
      <c r="T1370" s="57" t="n">
        <f aca="false">S1370*8/$P$1367</f>
        <v>0.8</v>
      </c>
      <c r="U1370" s="28" t="n">
        <v>28.94</v>
      </c>
      <c r="V1370" s="28" t="n">
        <f aca="false">T1370*U1370</f>
        <v>23.152</v>
      </c>
    </row>
    <row r="1371" customFormat="false" ht="15" hidden="false" customHeight="false" outlineLevel="0" collapsed="false">
      <c r="N1371" s="1" t="s">
        <v>293</v>
      </c>
      <c r="R1371" s="55" t="s">
        <v>292</v>
      </c>
      <c r="S1371" s="56" t="n">
        <v>2</v>
      </c>
      <c r="T1371" s="57" t="n">
        <f aca="false">S1371*8/$P$1367</f>
        <v>0.8</v>
      </c>
      <c r="U1371" s="28" t="n">
        <v>23.6</v>
      </c>
      <c r="V1371" s="28" t="n">
        <f aca="false">T1371*U1371</f>
        <v>18.88</v>
      </c>
    </row>
    <row r="1372" customFormat="false" ht="15" hidden="false" customHeight="false" outlineLevel="0" collapsed="false">
      <c r="N1372" s="1" t="s">
        <v>294</v>
      </c>
      <c r="R1372" s="55" t="s">
        <v>292</v>
      </c>
      <c r="S1372" s="56" t="n">
        <v>1</v>
      </c>
      <c r="T1372" s="57" t="n">
        <f aca="false">S1372*8/$P$1367</f>
        <v>0.4</v>
      </c>
      <c r="U1372" s="28" t="n">
        <v>21.36</v>
      </c>
      <c r="V1372" s="28" t="n">
        <f aca="false">T1372*U1372</f>
        <v>8.544</v>
      </c>
    </row>
    <row r="1373" customFormat="false" ht="15" hidden="false" customHeight="false" outlineLevel="0" collapsed="false">
      <c r="R1373" s="55"/>
      <c r="S1373" s="56"/>
      <c r="T1373" s="57"/>
      <c r="V1373" s="86" t="n">
        <f aca="false">SUM(V1370:V1372)</f>
        <v>50.576</v>
      </c>
    </row>
    <row r="1374" customFormat="false" ht="15" hidden="false" customHeight="false" outlineLevel="0" collapsed="false">
      <c r="N1374" s="87" t="s">
        <v>654</v>
      </c>
      <c r="R1374" s="55"/>
      <c r="S1374" s="56"/>
      <c r="T1374" s="57"/>
      <c r="V1374" s="28"/>
    </row>
    <row r="1375" customFormat="false" ht="15" hidden="false" customHeight="false" outlineLevel="0" collapsed="false">
      <c r="N1375" s="1" t="s">
        <v>689</v>
      </c>
      <c r="R1375" s="55" t="s">
        <v>297</v>
      </c>
      <c r="T1375" s="57" t="n">
        <v>0.3</v>
      </c>
      <c r="U1375" s="28" t="n">
        <v>2.64</v>
      </c>
      <c r="V1375" s="28" t="n">
        <f aca="false">T1375*U1375</f>
        <v>0.792</v>
      </c>
    </row>
    <row r="1376" customFormat="false" ht="15" hidden="false" customHeight="false" outlineLevel="0" collapsed="false">
      <c r="N1376" s="1" t="s">
        <v>302</v>
      </c>
      <c r="R1376" s="55" t="s">
        <v>297</v>
      </c>
      <c r="T1376" s="57" t="n">
        <v>0.31</v>
      </c>
      <c r="U1376" s="28" t="n">
        <v>5.51</v>
      </c>
      <c r="V1376" s="28" t="n">
        <f aca="false">T1376*U1376</f>
        <v>1.7081</v>
      </c>
    </row>
    <row r="1377" customFormat="false" ht="15" hidden="false" customHeight="false" outlineLevel="0" collapsed="false">
      <c r="N1377" s="1" t="s">
        <v>670</v>
      </c>
      <c r="R1377" s="55" t="s">
        <v>306</v>
      </c>
      <c r="T1377" s="57" t="n">
        <v>4.25</v>
      </c>
      <c r="U1377" s="28" t="n">
        <v>5.8</v>
      </c>
      <c r="V1377" s="28" t="n">
        <f aca="false">T1377*U1377</f>
        <v>24.65</v>
      </c>
    </row>
    <row r="1378" customFormat="false" ht="15" hidden="false" customHeight="false" outlineLevel="0" collapsed="false">
      <c r="R1378" s="55"/>
      <c r="T1378" s="57"/>
      <c r="U1378" s="28"/>
      <c r="V1378" s="86" t="n">
        <f aca="false">SUM(V1375:V1377)</f>
        <v>27.1501</v>
      </c>
    </row>
    <row r="1379" customFormat="false" ht="15" hidden="false" customHeight="false" outlineLevel="0" collapsed="false">
      <c r="N1379" s="87" t="s">
        <v>310</v>
      </c>
    </row>
    <row r="1380" customFormat="false" ht="15" hidden="false" customHeight="false" outlineLevel="0" collapsed="false">
      <c r="N1380" s="1" t="s">
        <v>311</v>
      </c>
      <c r="R1380" s="55" t="s">
        <v>312</v>
      </c>
      <c r="T1380" s="57" t="n">
        <v>3</v>
      </c>
      <c r="U1380" s="28" t="n">
        <f aca="false">V1373</f>
        <v>50.576</v>
      </c>
      <c r="V1380" s="28" t="n">
        <f aca="false">T1380%*U1380</f>
        <v>1.51728</v>
      </c>
    </row>
    <row r="1381" customFormat="false" ht="15" hidden="false" customHeight="false" outlineLevel="0" collapsed="false">
      <c r="M1381" s="60"/>
      <c r="N1381" s="60"/>
      <c r="O1381" s="60"/>
      <c r="P1381" s="60"/>
      <c r="Q1381" s="60"/>
      <c r="R1381" s="60"/>
      <c r="S1381" s="60"/>
      <c r="T1381" s="60"/>
      <c r="U1381" s="60"/>
      <c r="V1381" s="89" t="n">
        <f aca="false">SUM(V1380)</f>
        <v>1.51728</v>
      </c>
    </row>
    <row r="1382" customFormat="false" ht="15" hidden="false" customHeight="false" outlineLevel="0" collapsed="false">
      <c r="R1382" s="55"/>
      <c r="T1382" s="57"/>
      <c r="V1382" s="28"/>
    </row>
    <row r="1383" customFormat="false" ht="15" hidden="false" customHeight="false" outlineLevel="0" collapsed="false">
      <c r="M1383" s="82" t="s">
        <v>334</v>
      </c>
      <c r="N1383" s="103" t="n">
        <f aca="false">A1329</f>
        <v>100000000005</v>
      </c>
      <c r="O1383" s="82" t="s">
        <v>748</v>
      </c>
      <c r="P1383" s="82"/>
    </row>
    <row r="1384" customFormat="false" ht="15" hidden="false" customHeight="false" outlineLevel="0" collapsed="false">
      <c r="M1384" s="82" t="s">
        <v>279</v>
      </c>
      <c r="N1384" s="82" t="s">
        <v>417</v>
      </c>
      <c r="O1384" s="84" t="s">
        <v>281</v>
      </c>
      <c r="P1384" s="85" t="n">
        <v>10</v>
      </c>
      <c r="Q1384" s="84" t="s">
        <v>282</v>
      </c>
      <c r="R1384" s="85" t="n">
        <f aca="false">P1384</f>
        <v>10</v>
      </c>
      <c r="S1384" s="82" t="s">
        <v>283</v>
      </c>
      <c r="U1384" s="84" t="s">
        <v>204</v>
      </c>
      <c r="V1384" s="86" t="n">
        <f aca="false">V1390+V1397+V1402</f>
        <v>549.09188</v>
      </c>
    </row>
    <row r="1385" customFormat="false" ht="15" hidden="false" customHeight="false" outlineLevel="0" collapsed="false">
      <c r="M1385" s="82" t="s">
        <v>284</v>
      </c>
      <c r="N1385" s="82" t="s">
        <v>285</v>
      </c>
      <c r="R1385" s="84" t="s">
        <v>123</v>
      </c>
      <c r="S1385" s="84" t="s">
        <v>286</v>
      </c>
      <c r="T1385" s="84" t="s">
        <v>287</v>
      </c>
      <c r="U1385" s="84" t="s">
        <v>288</v>
      </c>
      <c r="V1385" s="84" t="s">
        <v>289</v>
      </c>
    </row>
    <row r="1386" customFormat="false" ht="15" hidden="false" customHeight="false" outlineLevel="0" collapsed="false">
      <c r="N1386" s="87" t="s">
        <v>290</v>
      </c>
    </row>
    <row r="1387" customFormat="false" ht="15" hidden="false" customHeight="false" outlineLevel="0" collapsed="false">
      <c r="N1387" s="1" t="s">
        <v>291</v>
      </c>
      <c r="R1387" s="55" t="s">
        <v>292</v>
      </c>
      <c r="S1387" s="56" t="n">
        <v>2</v>
      </c>
      <c r="T1387" s="57" t="n">
        <f aca="false">S1387*8/$P$1384</f>
        <v>1.6</v>
      </c>
      <c r="U1387" s="28" t="n">
        <v>28.94</v>
      </c>
      <c r="V1387" s="28" t="n">
        <f aca="false">T1387*U1387</f>
        <v>46.304</v>
      </c>
    </row>
    <row r="1388" customFormat="false" ht="15" hidden="false" customHeight="false" outlineLevel="0" collapsed="false">
      <c r="N1388" s="1" t="s">
        <v>293</v>
      </c>
      <c r="R1388" s="55" t="s">
        <v>292</v>
      </c>
      <c r="S1388" s="56" t="n">
        <v>2</v>
      </c>
      <c r="T1388" s="57" t="n">
        <f aca="false">S1388*8/$P$1384</f>
        <v>1.6</v>
      </c>
      <c r="U1388" s="28" t="n">
        <v>23.6</v>
      </c>
      <c r="V1388" s="28" t="n">
        <f aca="false">T1388*U1388</f>
        <v>37.76</v>
      </c>
    </row>
    <row r="1389" customFormat="false" ht="15" hidden="false" customHeight="false" outlineLevel="0" collapsed="false">
      <c r="N1389" s="1" t="s">
        <v>294</v>
      </c>
      <c r="R1389" s="55" t="s">
        <v>292</v>
      </c>
      <c r="S1389" s="56" t="n">
        <v>8</v>
      </c>
      <c r="T1389" s="57" t="n">
        <f aca="false">S1389*8/$P$1384</f>
        <v>6.4</v>
      </c>
      <c r="U1389" s="28" t="n">
        <v>21.36</v>
      </c>
      <c r="V1389" s="28" t="n">
        <f aca="false">T1389*U1389</f>
        <v>136.704</v>
      </c>
    </row>
    <row r="1390" customFormat="false" ht="15" hidden="false" customHeight="false" outlineLevel="0" collapsed="false">
      <c r="R1390" s="55"/>
      <c r="S1390" s="56"/>
      <c r="T1390" s="57"/>
      <c r="V1390" s="86" t="n">
        <f aca="false">SUM(V1387:V1389)</f>
        <v>220.768</v>
      </c>
    </row>
    <row r="1391" customFormat="false" ht="15" hidden="false" customHeight="false" outlineLevel="0" collapsed="false">
      <c r="N1391" s="87" t="s">
        <v>654</v>
      </c>
      <c r="R1391" s="55"/>
      <c r="S1391" s="56"/>
      <c r="T1391" s="57"/>
      <c r="V1391" s="28"/>
    </row>
    <row r="1392" customFormat="false" ht="15" hidden="false" customHeight="false" outlineLevel="0" collapsed="false">
      <c r="N1392" s="1" t="s">
        <v>673</v>
      </c>
      <c r="R1392" s="55" t="s">
        <v>204</v>
      </c>
      <c r="T1392" s="57" t="n">
        <v>0.53</v>
      </c>
      <c r="U1392" s="28" t="n">
        <v>55.08</v>
      </c>
      <c r="V1392" s="28" t="n">
        <f aca="false">T1392*U1392</f>
        <v>29.1924</v>
      </c>
    </row>
    <row r="1393" customFormat="false" ht="15" hidden="false" customHeight="false" outlineLevel="0" collapsed="false">
      <c r="N1393" s="1" t="s">
        <v>674</v>
      </c>
      <c r="R1393" s="55" t="s">
        <v>204</v>
      </c>
      <c r="T1393" s="57" t="n">
        <v>0.52</v>
      </c>
      <c r="U1393" s="28" t="n">
        <v>47</v>
      </c>
      <c r="V1393" s="28" t="n">
        <f aca="false">T1393*U1393</f>
        <v>24.44</v>
      </c>
    </row>
    <row r="1394" customFormat="false" ht="15" hidden="false" customHeight="false" outlineLevel="0" collapsed="false">
      <c r="N1394" s="1" t="s">
        <v>307</v>
      </c>
      <c r="R1394" s="55" t="s">
        <v>308</v>
      </c>
      <c r="T1394" s="57" t="n">
        <v>9.73</v>
      </c>
      <c r="U1394" s="28" t="n">
        <v>24.52</v>
      </c>
      <c r="V1394" s="28" t="n">
        <f aca="false">T1394*U1394</f>
        <v>238.5796</v>
      </c>
    </row>
    <row r="1395" customFormat="false" ht="15" hidden="false" customHeight="false" outlineLevel="0" collapsed="false">
      <c r="N1395" s="1" t="s">
        <v>656</v>
      </c>
      <c r="R1395" s="55" t="s">
        <v>204</v>
      </c>
      <c r="T1395" s="57" t="n">
        <v>0.186</v>
      </c>
      <c r="U1395" s="1" t="n">
        <v>6.14</v>
      </c>
      <c r="V1395" s="28" t="n">
        <f aca="false">T1395*U1395</f>
        <v>1.14204</v>
      </c>
    </row>
    <row r="1396" customFormat="false" ht="15" hidden="false" customHeight="false" outlineLevel="0" collapsed="false">
      <c r="N1396" s="1" t="s">
        <v>666</v>
      </c>
      <c r="R1396" s="55" t="s">
        <v>440</v>
      </c>
      <c r="T1396" s="57" t="n">
        <v>0.36</v>
      </c>
      <c r="U1396" s="1" t="n">
        <v>13.93</v>
      </c>
      <c r="V1396" s="28" t="n">
        <f aca="false">T1396*U1396</f>
        <v>5.0148</v>
      </c>
    </row>
    <row r="1397" customFormat="false" ht="15" hidden="false" customHeight="false" outlineLevel="0" collapsed="false">
      <c r="R1397" s="55"/>
      <c r="T1397" s="57"/>
      <c r="U1397" s="28"/>
      <c r="V1397" s="86" t="n">
        <f aca="false">SUM(V1392:V1396)</f>
        <v>298.36884</v>
      </c>
    </row>
    <row r="1398" customFormat="false" ht="15" hidden="false" customHeight="false" outlineLevel="0" collapsed="false">
      <c r="N1398" s="87" t="s">
        <v>310</v>
      </c>
    </row>
    <row r="1399" customFormat="false" ht="15" hidden="false" customHeight="false" outlineLevel="0" collapsed="false">
      <c r="N1399" s="1" t="s">
        <v>311</v>
      </c>
      <c r="R1399" s="55" t="s">
        <v>312</v>
      </c>
      <c r="T1399" s="57" t="n">
        <v>3</v>
      </c>
      <c r="U1399" s="28" t="n">
        <f aca="false">V1390</f>
        <v>220.768</v>
      </c>
      <c r="V1399" s="28" t="n">
        <f aca="false">T1399%*U1399</f>
        <v>6.62304</v>
      </c>
    </row>
    <row r="1400" customFormat="false" ht="15" hidden="false" customHeight="false" outlineLevel="0" collapsed="false">
      <c r="N1400" s="1" t="s">
        <v>668</v>
      </c>
      <c r="R1400" s="55" t="s">
        <v>338</v>
      </c>
      <c r="S1400" s="56" t="n">
        <v>1</v>
      </c>
      <c r="T1400" s="57" t="n">
        <f aca="false">S1400*8/$P$1384</f>
        <v>0.8</v>
      </c>
      <c r="U1400" s="28" t="n">
        <v>25.63</v>
      </c>
      <c r="V1400" s="28" t="n">
        <f aca="false">T1400*U1400</f>
        <v>20.504</v>
      </c>
    </row>
    <row r="1401" customFormat="false" ht="15" hidden="false" customHeight="false" outlineLevel="0" collapsed="false">
      <c r="N1401" s="1" t="s">
        <v>676</v>
      </c>
      <c r="R1401" s="55" t="s">
        <v>338</v>
      </c>
      <c r="S1401" s="56" t="n">
        <v>0.5</v>
      </c>
      <c r="T1401" s="57" t="n">
        <f aca="false">S1401*8/$P$1384</f>
        <v>0.4</v>
      </c>
      <c r="U1401" s="28" t="n">
        <v>7.07</v>
      </c>
      <c r="V1401" s="28" t="n">
        <f aca="false">T1401*U1401</f>
        <v>2.828</v>
      </c>
    </row>
    <row r="1402" customFormat="false" ht="15" hidden="false" customHeight="false" outlineLevel="0" collapsed="false">
      <c r="M1402" s="60"/>
      <c r="N1402" s="60"/>
      <c r="O1402" s="60"/>
      <c r="P1402" s="60"/>
      <c r="Q1402" s="60"/>
      <c r="R1402" s="60"/>
      <c r="S1402" s="60"/>
      <c r="T1402" s="60"/>
      <c r="U1402" s="60"/>
      <c r="V1402" s="89" t="n">
        <f aca="false">SUM(V1399:V1401)</f>
        <v>29.95504</v>
      </c>
    </row>
    <row r="1403" customFormat="false" ht="15" hidden="false" customHeight="false" outlineLevel="0" collapsed="false">
      <c r="R1403" s="55"/>
      <c r="T1403" s="57"/>
      <c r="V1403" s="28"/>
    </row>
    <row r="1404" customFormat="false" ht="15" hidden="false" customHeight="false" outlineLevel="0" collapsed="false">
      <c r="M1404" s="82" t="s">
        <v>334</v>
      </c>
      <c r="N1404" s="103" t="n">
        <f aca="false">A1330</f>
        <v>100000000006</v>
      </c>
      <c r="O1404" s="82" t="s">
        <v>749</v>
      </c>
      <c r="P1404" s="82"/>
    </row>
    <row r="1405" customFormat="false" ht="15" hidden="false" customHeight="false" outlineLevel="0" collapsed="false">
      <c r="M1405" s="82" t="s">
        <v>279</v>
      </c>
      <c r="N1405" s="82" t="s">
        <v>280</v>
      </c>
      <c r="O1405" s="84" t="s">
        <v>281</v>
      </c>
      <c r="P1405" s="85" t="n">
        <v>250</v>
      </c>
      <c r="Q1405" s="84" t="s">
        <v>282</v>
      </c>
      <c r="R1405" s="85" t="n">
        <f aca="false">P1405</f>
        <v>250</v>
      </c>
      <c r="S1405" s="82" t="s">
        <v>283</v>
      </c>
      <c r="U1405" s="84" t="s">
        <v>134</v>
      </c>
      <c r="V1405" s="86" t="n">
        <f aca="false">V1410+V1414+V1418</f>
        <v>8.7959184</v>
      </c>
    </row>
    <row r="1406" customFormat="false" ht="15" hidden="false" customHeight="false" outlineLevel="0" collapsed="false">
      <c r="M1406" s="82" t="s">
        <v>284</v>
      </c>
      <c r="N1406" s="82" t="s">
        <v>285</v>
      </c>
      <c r="R1406" s="84" t="s">
        <v>123</v>
      </c>
      <c r="S1406" s="84" t="s">
        <v>286</v>
      </c>
      <c r="T1406" s="84" t="s">
        <v>287</v>
      </c>
      <c r="U1406" s="84" t="s">
        <v>288</v>
      </c>
      <c r="V1406" s="84" t="s">
        <v>289</v>
      </c>
    </row>
    <row r="1407" customFormat="false" ht="15" hidden="false" customHeight="false" outlineLevel="0" collapsed="false">
      <c r="N1407" s="87" t="s">
        <v>290</v>
      </c>
    </row>
    <row r="1408" customFormat="false" ht="15" hidden="false" customHeight="false" outlineLevel="0" collapsed="false">
      <c r="N1408" s="1" t="s">
        <v>291</v>
      </c>
      <c r="R1408" s="55" t="s">
        <v>292</v>
      </c>
      <c r="S1408" s="56" t="n">
        <v>1</v>
      </c>
      <c r="T1408" s="57" t="n">
        <f aca="false">S1408*8/$P$1405</f>
        <v>0.032</v>
      </c>
      <c r="U1408" s="28" t="n">
        <v>28.94</v>
      </c>
      <c r="V1408" s="28" t="n">
        <f aca="false">T1408*U1408</f>
        <v>0.92608</v>
      </c>
    </row>
    <row r="1409" customFormat="false" ht="15" hidden="false" customHeight="false" outlineLevel="0" collapsed="false">
      <c r="N1409" s="1" t="s">
        <v>680</v>
      </c>
      <c r="R1409" s="55" t="s">
        <v>292</v>
      </c>
      <c r="S1409" s="56" t="n">
        <v>1</v>
      </c>
      <c r="T1409" s="57" t="n">
        <f aca="false">S1409*8/$P$1405</f>
        <v>0.032</v>
      </c>
      <c r="U1409" s="28" t="n">
        <v>23.6</v>
      </c>
      <c r="V1409" s="28" t="n">
        <f aca="false">T1409*U1409</f>
        <v>0.7552</v>
      </c>
    </row>
    <row r="1410" customFormat="false" ht="15" hidden="false" customHeight="false" outlineLevel="0" collapsed="false">
      <c r="R1410" s="55"/>
      <c r="S1410" s="56"/>
      <c r="V1410" s="86" t="n">
        <f aca="false">SUM(V1408:V1409)</f>
        <v>1.68128</v>
      </c>
    </row>
    <row r="1411" customFormat="false" ht="15" hidden="false" customHeight="false" outlineLevel="0" collapsed="false">
      <c r="N1411" s="87" t="s">
        <v>295</v>
      </c>
      <c r="R1411" s="55"/>
      <c r="S1411" s="56"/>
      <c r="T1411" s="99"/>
    </row>
    <row r="1412" customFormat="false" ht="15" hidden="false" customHeight="false" outlineLevel="0" collapsed="false">
      <c r="N1412" s="1" t="s">
        <v>296</v>
      </c>
      <c r="R1412" s="55" t="s">
        <v>297</v>
      </c>
      <c r="S1412" s="56"/>
      <c r="T1412" s="99" t="n">
        <v>0.03</v>
      </c>
      <c r="U1412" s="28" t="n">
        <v>2.64</v>
      </c>
      <c r="V1412" s="28" t="n">
        <f aca="false">T1412*U1412</f>
        <v>0.0792</v>
      </c>
    </row>
    <row r="1413" customFormat="false" ht="15" hidden="false" customHeight="false" outlineLevel="0" collapsed="false">
      <c r="N1413" s="1" t="s">
        <v>681</v>
      </c>
      <c r="R1413" s="55" t="s">
        <v>297</v>
      </c>
      <c r="S1413" s="56"/>
      <c r="T1413" s="99" t="n">
        <v>1.05</v>
      </c>
      <c r="U1413" s="28" t="n">
        <v>6.5</v>
      </c>
      <c r="V1413" s="28" t="n">
        <f aca="false">T1413*U1413</f>
        <v>6.825</v>
      </c>
    </row>
    <row r="1414" customFormat="false" ht="15" hidden="false" customHeight="false" outlineLevel="0" collapsed="false">
      <c r="R1414" s="55"/>
      <c r="S1414" s="56"/>
      <c r="V1414" s="86" t="n">
        <f aca="false">SUM(V1412:V1413)</f>
        <v>6.9042</v>
      </c>
    </row>
    <row r="1415" customFormat="false" ht="15" hidden="false" customHeight="false" outlineLevel="0" collapsed="false">
      <c r="N1415" s="87" t="s">
        <v>318</v>
      </c>
      <c r="R1415" s="55"/>
      <c r="S1415" s="56"/>
    </row>
    <row r="1416" customFormat="false" ht="15" hidden="false" customHeight="false" outlineLevel="0" collapsed="false">
      <c r="N1416" s="1" t="s">
        <v>311</v>
      </c>
      <c r="R1416" s="55" t="s">
        <v>312</v>
      </c>
      <c r="T1416" s="57" t="n">
        <v>3</v>
      </c>
      <c r="U1416" s="28" t="n">
        <f aca="false">V1410</f>
        <v>1.68128</v>
      </c>
      <c r="V1416" s="28" t="n">
        <f aca="false">T1416%*U1416</f>
        <v>0.0504384</v>
      </c>
    </row>
    <row r="1417" customFormat="false" ht="15" hidden="false" customHeight="false" outlineLevel="0" collapsed="false">
      <c r="N1417" s="1" t="s">
        <v>682</v>
      </c>
      <c r="R1417" s="55" t="s">
        <v>292</v>
      </c>
      <c r="S1417" s="56" t="n">
        <v>1</v>
      </c>
      <c r="T1417" s="57" t="n">
        <f aca="false">S1417*8/$P$1405</f>
        <v>0.032</v>
      </c>
      <c r="U1417" s="28" t="n">
        <v>5</v>
      </c>
      <c r="V1417" s="28" t="n">
        <f aca="false">T1417*U1417</f>
        <v>0.16</v>
      </c>
    </row>
    <row r="1418" customFormat="false" ht="15" hidden="false" customHeight="false" outlineLevel="0" collapsed="false">
      <c r="M1418" s="60"/>
      <c r="N1418" s="60"/>
      <c r="O1418" s="60"/>
      <c r="P1418" s="60"/>
      <c r="Q1418" s="60"/>
      <c r="R1418" s="60"/>
      <c r="S1418" s="60"/>
      <c r="T1418" s="60"/>
      <c r="U1418" s="60"/>
      <c r="V1418" s="89" t="n">
        <f aca="false">SUM(V1416:V1417)</f>
        <v>0.2104384</v>
      </c>
    </row>
    <row r="1419" customFormat="false" ht="15" hidden="false" customHeight="false" outlineLevel="0" collapsed="false">
      <c r="V1419" s="86"/>
    </row>
    <row r="1420" customFormat="false" ht="15" hidden="false" customHeight="false" outlineLevel="0" collapsed="false">
      <c r="M1420" s="82" t="s">
        <v>334</v>
      </c>
      <c r="N1420" s="103" t="n">
        <f aca="false">A1338</f>
        <v>100000000007</v>
      </c>
      <c r="O1420" s="82" t="s">
        <v>750</v>
      </c>
      <c r="P1420" s="82"/>
    </row>
    <row r="1421" customFormat="false" ht="15" hidden="false" customHeight="false" outlineLevel="0" collapsed="false">
      <c r="M1421" s="82" t="s">
        <v>279</v>
      </c>
      <c r="N1421" s="82" t="s">
        <v>280</v>
      </c>
      <c r="O1421" s="84" t="s">
        <v>281</v>
      </c>
      <c r="P1421" s="85" t="n">
        <v>18</v>
      </c>
      <c r="Q1421" s="84" t="s">
        <v>282</v>
      </c>
      <c r="R1421" s="85" t="n">
        <f aca="false">P1421</f>
        <v>18</v>
      </c>
      <c r="S1421" s="82" t="s">
        <v>283</v>
      </c>
      <c r="U1421" s="84" t="s">
        <v>134</v>
      </c>
      <c r="V1421" s="86" t="n">
        <f aca="false">V1426+V1431+V1434</f>
        <v>79.0168444444444</v>
      </c>
    </row>
    <row r="1422" customFormat="false" ht="15" hidden="false" customHeight="false" outlineLevel="0" collapsed="false">
      <c r="M1422" s="82" t="s">
        <v>284</v>
      </c>
      <c r="N1422" s="82" t="s">
        <v>285</v>
      </c>
      <c r="R1422" s="84" t="s">
        <v>123</v>
      </c>
      <c r="S1422" s="84" t="s">
        <v>286</v>
      </c>
      <c r="T1422" s="84" t="s">
        <v>287</v>
      </c>
      <c r="U1422" s="84" t="s">
        <v>288</v>
      </c>
      <c r="V1422" s="84" t="s">
        <v>289</v>
      </c>
    </row>
    <row r="1423" customFormat="false" ht="15" hidden="false" customHeight="false" outlineLevel="0" collapsed="false">
      <c r="N1423" s="87" t="s">
        <v>290</v>
      </c>
    </row>
    <row r="1424" customFormat="false" ht="15" hidden="false" customHeight="false" outlineLevel="0" collapsed="false">
      <c r="N1424" s="1" t="s">
        <v>291</v>
      </c>
      <c r="R1424" s="55" t="s">
        <v>292</v>
      </c>
      <c r="S1424" s="56" t="n">
        <v>2</v>
      </c>
      <c r="T1424" s="57" t="n">
        <f aca="false">S1424*8/$P$1421</f>
        <v>0.888888888888889</v>
      </c>
      <c r="U1424" s="28" t="n">
        <v>28.94</v>
      </c>
      <c r="V1424" s="28" t="n">
        <f aca="false">T1424*U1424</f>
        <v>25.7244444444444</v>
      </c>
    </row>
    <row r="1425" customFormat="false" ht="15" hidden="false" customHeight="false" outlineLevel="0" collapsed="false">
      <c r="N1425" s="1" t="s">
        <v>294</v>
      </c>
      <c r="R1425" s="55" t="s">
        <v>292</v>
      </c>
      <c r="S1425" s="56" t="n">
        <v>2</v>
      </c>
      <c r="T1425" s="57" t="n">
        <f aca="false">S1425*8/$P$1421</f>
        <v>0.888888888888889</v>
      </c>
      <c r="U1425" s="28" t="n">
        <v>21.36</v>
      </c>
      <c r="V1425" s="28" t="n">
        <f aca="false">T1425*U1425</f>
        <v>18.9866666666667</v>
      </c>
    </row>
    <row r="1426" customFormat="false" ht="15" hidden="false" customHeight="false" outlineLevel="0" collapsed="false">
      <c r="R1426" s="55"/>
      <c r="S1426" s="56"/>
      <c r="T1426" s="57"/>
      <c r="U1426" s="28"/>
      <c r="V1426" s="86" t="n">
        <f aca="false">SUM(V1424:V1425)</f>
        <v>44.7111111111111</v>
      </c>
    </row>
    <row r="1427" customFormat="false" ht="15" hidden="false" customHeight="false" outlineLevel="0" collapsed="false">
      <c r="N1427" s="87" t="s">
        <v>654</v>
      </c>
      <c r="R1427" s="55"/>
      <c r="S1427" s="56"/>
      <c r="T1427" s="57"/>
      <c r="V1427" s="28"/>
    </row>
    <row r="1428" customFormat="false" ht="15" hidden="false" customHeight="false" outlineLevel="0" collapsed="false">
      <c r="N1428" s="1" t="s">
        <v>689</v>
      </c>
      <c r="R1428" s="55" t="s">
        <v>297</v>
      </c>
      <c r="T1428" s="57" t="n">
        <v>0.1</v>
      </c>
      <c r="U1428" s="28" t="n">
        <v>2.64</v>
      </c>
      <c r="V1428" s="28" t="n">
        <f aca="false">T1428*U1428</f>
        <v>0.264</v>
      </c>
    </row>
    <row r="1429" customFormat="false" ht="15" hidden="false" customHeight="false" outlineLevel="0" collapsed="false">
      <c r="N1429" s="1" t="s">
        <v>302</v>
      </c>
      <c r="R1429" s="55" t="s">
        <v>297</v>
      </c>
      <c r="T1429" s="57" t="n">
        <v>0.24</v>
      </c>
      <c r="U1429" s="28" t="n">
        <v>5.51</v>
      </c>
      <c r="V1429" s="28" t="n">
        <f aca="false">T1429*U1429</f>
        <v>1.3224</v>
      </c>
    </row>
    <row r="1430" customFormat="false" ht="15" hidden="false" customHeight="false" outlineLevel="0" collapsed="false">
      <c r="N1430" s="1" t="s">
        <v>670</v>
      </c>
      <c r="R1430" s="55" t="s">
        <v>306</v>
      </c>
      <c r="T1430" s="57" t="n">
        <v>5.41</v>
      </c>
      <c r="U1430" s="28" t="n">
        <v>5.8</v>
      </c>
      <c r="V1430" s="28" t="n">
        <f aca="false">T1430*U1430</f>
        <v>31.378</v>
      </c>
    </row>
    <row r="1431" customFormat="false" ht="15" hidden="false" customHeight="false" outlineLevel="0" collapsed="false">
      <c r="R1431" s="55"/>
      <c r="T1431" s="57"/>
      <c r="U1431" s="28"/>
      <c r="V1431" s="86" t="n">
        <f aca="false">SUM(V1428:V1430)</f>
        <v>32.9644</v>
      </c>
    </row>
    <row r="1432" customFormat="false" ht="15" hidden="false" customHeight="false" outlineLevel="0" collapsed="false">
      <c r="N1432" s="87" t="s">
        <v>310</v>
      </c>
    </row>
    <row r="1433" customFormat="false" ht="15" hidden="false" customHeight="false" outlineLevel="0" collapsed="false">
      <c r="N1433" s="1" t="s">
        <v>311</v>
      </c>
      <c r="R1433" s="55" t="s">
        <v>312</v>
      </c>
      <c r="T1433" s="57" t="n">
        <v>3</v>
      </c>
      <c r="U1433" s="28" t="n">
        <f aca="false">V1426</f>
        <v>44.7111111111111</v>
      </c>
      <c r="V1433" s="28" t="n">
        <f aca="false">T1433%*U1433</f>
        <v>1.34133333333333</v>
      </c>
    </row>
    <row r="1434" customFormat="false" ht="15" hidden="false" customHeight="false" outlineLevel="0" collapsed="false">
      <c r="M1434" s="60"/>
      <c r="N1434" s="60"/>
      <c r="O1434" s="60"/>
      <c r="P1434" s="60"/>
      <c r="Q1434" s="60"/>
      <c r="R1434" s="60"/>
      <c r="S1434" s="60"/>
      <c r="T1434" s="60"/>
      <c r="U1434" s="60"/>
      <c r="V1434" s="89" t="n">
        <f aca="false">SUM(V1433)</f>
        <v>1.34133333333333</v>
      </c>
    </row>
    <row r="1435" customFormat="false" ht="15" hidden="false" customHeight="false" outlineLevel="0" collapsed="false">
      <c r="V1435" s="86"/>
    </row>
    <row r="1436" customFormat="false" ht="15" hidden="false" customHeight="false" outlineLevel="0" collapsed="false">
      <c r="M1436" s="82" t="s">
        <v>334</v>
      </c>
      <c r="N1436" s="103" t="n">
        <f aca="false">A1339</f>
        <v>100000000008</v>
      </c>
      <c r="O1436" s="82" t="s">
        <v>751</v>
      </c>
      <c r="P1436" s="82"/>
    </row>
    <row r="1437" customFormat="false" ht="15" hidden="false" customHeight="false" outlineLevel="0" collapsed="false">
      <c r="M1437" s="82" t="s">
        <v>279</v>
      </c>
      <c r="N1437" s="82" t="s">
        <v>417</v>
      </c>
      <c r="O1437" s="84" t="s">
        <v>281</v>
      </c>
      <c r="P1437" s="85" t="n">
        <v>20</v>
      </c>
      <c r="Q1437" s="84" t="s">
        <v>282</v>
      </c>
      <c r="R1437" s="85" t="n">
        <f aca="false">P1437</f>
        <v>20</v>
      </c>
      <c r="S1437" s="82" t="s">
        <v>283</v>
      </c>
      <c r="U1437" s="84" t="s">
        <v>204</v>
      </c>
      <c r="V1437" s="86" t="n">
        <f aca="false">V1443+V1450+V1456</f>
        <v>419.77836</v>
      </c>
    </row>
    <row r="1438" customFormat="false" ht="15" hidden="false" customHeight="false" outlineLevel="0" collapsed="false">
      <c r="M1438" s="82" t="s">
        <v>284</v>
      </c>
      <c r="N1438" s="82" t="s">
        <v>285</v>
      </c>
      <c r="R1438" s="84" t="s">
        <v>123</v>
      </c>
      <c r="S1438" s="84" t="s">
        <v>286</v>
      </c>
      <c r="T1438" s="84" t="s">
        <v>287</v>
      </c>
      <c r="U1438" s="84" t="s">
        <v>288</v>
      </c>
      <c r="V1438" s="84" t="s">
        <v>289</v>
      </c>
    </row>
    <row r="1439" customFormat="false" ht="15" hidden="false" customHeight="false" outlineLevel="0" collapsed="false">
      <c r="N1439" s="87" t="s">
        <v>290</v>
      </c>
    </row>
    <row r="1440" customFormat="false" ht="15" hidden="false" customHeight="false" outlineLevel="0" collapsed="false">
      <c r="N1440" s="1" t="s">
        <v>291</v>
      </c>
      <c r="R1440" s="55" t="s">
        <v>292</v>
      </c>
      <c r="S1440" s="56" t="n">
        <v>2</v>
      </c>
      <c r="T1440" s="57" t="n">
        <f aca="false">S1440*8/$P$1437</f>
        <v>0.8</v>
      </c>
      <c r="U1440" s="28" t="n">
        <v>28.94</v>
      </c>
      <c r="V1440" s="28" t="n">
        <f aca="false">T1440*U1440</f>
        <v>23.152</v>
      </c>
    </row>
    <row r="1441" customFormat="false" ht="15" hidden="false" customHeight="false" outlineLevel="0" collapsed="false">
      <c r="N1441" s="1" t="s">
        <v>293</v>
      </c>
      <c r="R1441" s="55" t="s">
        <v>292</v>
      </c>
      <c r="S1441" s="56" t="n">
        <v>1</v>
      </c>
      <c r="T1441" s="57" t="n">
        <f aca="false">S1441*8/$P$1437</f>
        <v>0.4</v>
      </c>
      <c r="U1441" s="28" t="n">
        <v>23.6</v>
      </c>
      <c r="V1441" s="28" t="n">
        <f aca="false">T1441*U1441</f>
        <v>9.44</v>
      </c>
    </row>
    <row r="1442" customFormat="false" ht="15" hidden="false" customHeight="false" outlineLevel="0" collapsed="false">
      <c r="N1442" s="1" t="s">
        <v>294</v>
      </c>
      <c r="R1442" s="55" t="s">
        <v>292</v>
      </c>
      <c r="S1442" s="56" t="n">
        <v>8</v>
      </c>
      <c r="T1442" s="57" t="n">
        <f aca="false">S1442*8/$P$1437</f>
        <v>3.2</v>
      </c>
      <c r="U1442" s="28" t="n">
        <v>21.36</v>
      </c>
      <c r="V1442" s="28" t="n">
        <f aca="false">T1442*U1442</f>
        <v>68.352</v>
      </c>
    </row>
    <row r="1443" customFormat="false" ht="15" hidden="false" customHeight="false" outlineLevel="0" collapsed="false">
      <c r="R1443" s="55"/>
      <c r="S1443" s="56"/>
      <c r="T1443" s="57"/>
      <c r="V1443" s="86" t="n">
        <f aca="false">SUM(V1440:V1442)</f>
        <v>100.944</v>
      </c>
    </row>
    <row r="1444" customFormat="false" ht="15" hidden="false" customHeight="false" outlineLevel="0" collapsed="false">
      <c r="N1444" s="87" t="s">
        <v>654</v>
      </c>
      <c r="R1444" s="55"/>
      <c r="S1444" s="56"/>
      <c r="T1444" s="57"/>
      <c r="V1444" s="28"/>
    </row>
    <row r="1445" customFormat="false" ht="15" hidden="false" customHeight="false" outlineLevel="0" collapsed="false">
      <c r="N1445" s="1" t="s">
        <v>673</v>
      </c>
      <c r="R1445" s="55" t="s">
        <v>204</v>
      </c>
      <c r="T1445" s="57" t="n">
        <v>0.53</v>
      </c>
      <c r="U1445" s="28" t="n">
        <v>55.08</v>
      </c>
      <c r="V1445" s="28" t="n">
        <f aca="false">T1445*U1445</f>
        <v>29.1924</v>
      </c>
    </row>
    <row r="1446" customFormat="false" ht="15" hidden="false" customHeight="false" outlineLevel="0" collapsed="false">
      <c r="N1446" s="1" t="s">
        <v>674</v>
      </c>
      <c r="R1446" s="55" t="s">
        <v>204</v>
      </c>
      <c r="T1446" s="57" t="n">
        <v>0.52</v>
      </c>
      <c r="U1446" s="28" t="n">
        <v>47</v>
      </c>
      <c r="V1446" s="28" t="n">
        <f aca="false">T1446*U1446</f>
        <v>24.44</v>
      </c>
    </row>
    <row r="1447" customFormat="false" ht="15" hidden="false" customHeight="false" outlineLevel="0" collapsed="false">
      <c r="N1447" s="1" t="s">
        <v>307</v>
      </c>
      <c r="R1447" s="55" t="s">
        <v>308</v>
      </c>
      <c r="T1447" s="57" t="n">
        <v>9.73</v>
      </c>
      <c r="U1447" s="28" t="n">
        <v>24.52</v>
      </c>
      <c r="V1447" s="28" t="n">
        <f aca="false">T1447*U1447</f>
        <v>238.5796</v>
      </c>
    </row>
    <row r="1448" customFormat="false" ht="15" hidden="false" customHeight="false" outlineLevel="0" collapsed="false">
      <c r="N1448" s="1" t="s">
        <v>656</v>
      </c>
      <c r="R1448" s="55" t="s">
        <v>204</v>
      </c>
      <c r="T1448" s="57" t="n">
        <v>0.186</v>
      </c>
      <c r="U1448" s="1" t="n">
        <v>6.14</v>
      </c>
      <c r="V1448" s="28" t="n">
        <f aca="false">T1448*U1448</f>
        <v>1.14204</v>
      </c>
    </row>
    <row r="1449" customFormat="false" ht="15" hidden="false" customHeight="false" outlineLevel="0" collapsed="false">
      <c r="N1449" s="1" t="s">
        <v>666</v>
      </c>
      <c r="R1449" s="55" t="s">
        <v>440</v>
      </c>
      <c r="T1449" s="57" t="n">
        <v>0.2</v>
      </c>
      <c r="U1449" s="1" t="n">
        <v>13.93</v>
      </c>
      <c r="V1449" s="28" t="n">
        <f aca="false">T1449*U1449</f>
        <v>2.786</v>
      </c>
    </row>
    <row r="1450" customFormat="false" ht="15" hidden="false" customHeight="false" outlineLevel="0" collapsed="false">
      <c r="R1450" s="55"/>
      <c r="T1450" s="57"/>
      <c r="U1450" s="28"/>
      <c r="V1450" s="86" t="n">
        <f aca="false">SUM(V1445:V1449)</f>
        <v>296.14004</v>
      </c>
    </row>
    <row r="1451" customFormat="false" ht="15" hidden="false" customHeight="false" outlineLevel="0" collapsed="false">
      <c r="N1451" s="87" t="s">
        <v>310</v>
      </c>
    </row>
    <row r="1452" customFormat="false" ht="15" hidden="false" customHeight="false" outlineLevel="0" collapsed="false">
      <c r="N1452" s="1" t="s">
        <v>311</v>
      </c>
      <c r="R1452" s="55" t="s">
        <v>312</v>
      </c>
      <c r="T1452" s="57" t="n">
        <v>3</v>
      </c>
      <c r="U1452" s="28" t="n">
        <f aca="false">V1443</f>
        <v>100.944</v>
      </c>
      <c r="V1452" s="28" t="n">
        <f aca="false">T1452%*U1452</f>
        <v>3.02832</v>
      </c>
    </row>
    <row r="1453" customFormat="false" ht="15" hidden="false" customHeight="false" outlineLevel="0" collapsed="false">
      <c r="N1453" s="1" t="s">
        <v>668</v>
      </c>
      <c r="R1453" s="55" t="s">
        <v>338</v>
      </c>
      <c r="S1453" s="56" t="n">
        <v>1</v>
      </c>
      <c r="T1453" s="57" t="n">
        <f aca="false">S1453*8/$P$1437</f>
        <v>0.4</v>
      </c>
      <c r="U1453" s="28" t="n">
        <v>25.63</v>
      </c>
      <c r="V1453" s="28" t="n">
        <f aca="false">T1453*U1453</f>
        <v>10.252</v>
      </c>
    </row>
    <row r="1454" customFormat="false" ht="15" hidden="false" customHeight="false" outlineLevel="0" collapsed="false">
      <c r="N1454" s="1" t="s">
        <v>691</v>
      </c>
      <c r="R1454" s="55" t="s">
        <v>338</v>
      </c>
      <c r="S1454" s="56" t="n">
        <v>1</v>
      </c>
      <c r="T1454" s="57" t="n">
        <f aca="false">S1454*8/$P$1437</f>
        <v>0.4</v>
      </c>
      <c r="U1454" s="28" t="n">
        <v>20</v>
      </c>
      <c r="V1454" s="28" t="n">
        <f aca="false">T1454*U1454</f>
        <v>8</v>
      </c>
    </row>
    <row r="1455" customFormat="false" ht="15" hidden="false" customHeight="false" outlineLevel="0" collapsed="false">
      <c r="N1455" s="1" t="s">
        <v>676</v>
      </c>
      <c r="R1455" s="55" t="s">
        <v>338</v>
      </c>
      <c r="S1455" s="56" t="n">
        <v>0.5</v>
      </c>
      <c r="T1455" s="57" t="n">
        <f aca="false">S1455*8/$P$1437</f>
        <v>0.2</v>
      </c>
      <c r="U1455" s="1" t="n">
        <v>7.07</v>
      </c>
      <c r="V1455" s="28" t="n">
        <f aca="false">T1455*U1455</f>
        <v>1.414</v>
      </c>
    </row>
    <row r="1456" customFormat="false" ht="15" hidden="false" customHeight="false" outlineLevel="0" collapsed="false">
      <c r="M1456" s="60"/>
      <c r="N1456" s="60"/>
      <c r="O1456" s="60"/>
      <c r="P1456" s="60"/>
      <c r="Q1456" s="60"/>
      <c r="R1456" s="60"/>
      <c r="S1456" s="60"/>
      <c r="T1456" s="60"/>
      <c r="U1456" s="60"/>
      <c r="V1456" s="89" t="n">
        <f aca="false">SUM(V1452:V1455)</f>
        <v>22.69432</v>
      </c>
    </row>
    <row r="1457" customFormat="false" ht="15" hidden="false" customHeight="false" outlineLevel="0" collapsed="false">
      <c r="R1457" s="55"/>
      <c r="T1457" s="57"/>
      <c r="V1457" s="28"/>
    </row>
    <row r="1458" customFormat="false" ht="15" hidden="false" customHeight="false" outlineLevel="0" collapsed="false">
      <c r="M1458" s="82" t="s">
        <v>334</v>
      </c>
      <c r="N1458" s="103" t="n">
        <f aca="false">A1340</f>
        <v>100000000009</v>
      </c>
      <c r="O1458" s="82" t="s">
        <v>752</v>
      </c>
      <c r="P1458" s="82"/>
    </row>
    <row r="1459" customFormat="false" ht="15" hidden="false" customHeight="false" outlineLevel="0" collapsed="false">
      <c r="M1459" s="82" t="s">
        <v>279</v>
      </c>
      <c r="N1459" s="82" t="s">
        <v>679</v>
      </c>
      <c r="O1459" s="84" t="s">
        <v>281</v>
      </c>
      <c r="P1459" s="85" t="n">
        <v>250</v>
      </c>
      <c r="Q1459" s="84" t="s">
        <v>282</v>
      </c>
      <c r="R1459" s="85" t="n">
        <f aca="false">P1459</f>
        <v>250</v>
      </c>
      <c r="S1459" s="82" t="s">
        <v>283</v>
      </c>
      <c r="U1459" s="84" t="s">
        <v>297</v>
      </c>
      <c r="V1459" s="86" t="n">
        <f aca="false">V1464+V1468+V1472</f>
        <v>8.7959184</v>
      </c>
    </row>
    <row r="1460" customFormat="false" ht="15" hidden="false" customHeight="false" outlineLevel="0" collapsed="false">
      <c r="M1460" s="82" t="s">
        <v>284</v>
      </c>
      <c r="N1460" s="82" t="s">
        <v>285</v>
      </c>
      <c r="R1460" s="84" t="s">
        <v>123</v>
      </c>
      <c r="S1460" s="84" t="s">
        <v>286</v>
      </c>
      <c r="T1460" s="84" t="s">
        <v>287</v>
      </c>
      <c r="U1460" s="84" t="s">
        <v>288</v>
      </c>
      <c r="V1460" s="84" t="s">
        <v>289</v>
      </c>
    </row>
    <row r="1461" customFormat="false" ht="15" hidden="false" customHeight="false" outlineLevel="0" collapsed="false">
      <c r="N1461" s="87" t="s">
        <v>290</v>
      </c>
    </row>
    <row r="1462" customFormat="false" ht="15" hidden="false" customHeight="false" outlineLevel="0" collapsed="false">
      <c r="N1462" s="1" t="s">
        <v>291</v>
      </c>
      <c r="R1462" s="55" t="s">
        <v>292</v>
      </c>
      <c r="S1462" s="56" t="n">
        <v>1</v>
      </c>
      <c r="T1462" s="57" t="n">
        <f aca="false">S1462*8/$P$1459</f>
        <v>0.032</v>
      </c>
      <c r="U1462" s="28" t="n">
        <v>28.94</v>
      </c>
      <c r="V1462" s="28" t="n">
        <f aca="false">T1462*U1462</f>
        <v>0.92608</v>
      </c>
    </row>
    <row r="1463" customFormat="false" ht="15" hidden="false" customHeight="false" outlineLevel="0" collapsed="false">
      <c r="N1463" s="1" t="s">
        <v>680</v>
      </c>
      <c r="R1463" s="55" t="s">
        <v>292</v>
      </c>
      <c r="S1463" s="56" t="n">
        <v>1</v>
      </c>
      <c r="T1463" s="57" t="n">
        <f aca="false">S1463*8/$P$1459</f>
        <v>0.032</v>
      </c>
      <c r="U1463" s="28" t="n">
        <v>23.6</v>
      </c>
      <c r="V1463" s="28" t="n">
        <f aca="false">T1463*U1463</f>
        <v>0.7552</v>
      </c>
    </row>
    <row r="1464" customFormat="false" ht="15" hidden="false" customHeight="false" outlineLevel="0" collapsed="false">
      <c r="R1464" s="55"/>
      <c r="S1464" s="56"/>
      <c r="V1464" s="86" t="n">
        <f aca="false">SUM(V1462:V1463)</f>
        <v>1.68128</v>
      </c>
    </row>
    <row r="1465" customFormat="false" ht="15" hidden="false" customHeight="false" outlineLevel="0" collapsed="false">
      <c r="N1465" s="87" t="s">
        <v>295</v>
      </c>
      <c r="R1465" s="55"/>
      <c r="S1465" s="56"/>
      <c r="T1465" s="99"/>
    </row>
    <row r="1466" customFormat="false" ht="15" hidden="false" customHeight="false" outlineLevel="0" collapsed="false">
      <c r="N1466" s="1" t="s">
        <v>296</v>
      </c>
      <c r="R1466" s="55" t="s">
        <v>297</v>
      </c>
      <c r="S1466" s="56"/>
      <c r="T1466" s="99" t="n">
        <v>0.03</v>
      </c>
      <c r="U1466" s="28" t="n">
        <v>2.64</v>
      </c>
      <c r="V1466" s="28" t="n">
        <f aca="false">T1466*U1466</f>
        <v>0.0792</v>
      </c>
    </row>
    <row r="1467" customFormat="false" ht="15" hidden="false" customHeight="false" outlineLevel="0" collapsed="false">
      <c r="N1467" s="1" t="s">
        <v>681</v>
      </c>
      <c r="R1467" s="55" t="s">
        <v>297</v>
      </c>
      <c r="S1467" s="56"/>
      <c r="T1467" s="99" t="n">
        <v>1.05</v>
      </c>
      <c r="U1467" s="28" t="n">
        <v>6.5</v>
      </c>
      <c r="V1467" s="28" t="n">
        <f aca="false">T1467*U1467</f>
        <v>6.825</v>
      </c>
    </row>
    <row r="1468" customFormat="false" ht="15" hidden="false" customHeight="false" outlineLevel="0" collapsed="false">
      <c r="R1468" s="55"/>
      <c r="S1468" s="56"/>
      <c r="V1468" s="86" t="n">
        <f aca="false">SUM(V1466:V1467)</f>
        <v>6.9042</v>
      </c>
    </row>
    <row r="1469" customFormat="false" ht="15" hidden="false" customHeight="false" outlineLevel="0" collapsed="false">
      <c r="N1469" s="87" t="s">
        <v>318</v>
      </c>
      <c r="R1469" s="55"/>
      <c r="S1469" s="56"/>
    </row>
    <row r="1470" customFormat="false" ht="15" hidden="false" customHeight="false" outlineLevel="0" collapsed="false">
      <c r="N1470" s="1" t="s">
        <v>311</v>
      </c>
      <c r="R1470" s="55" t="s">
        <v>312</v>
      </c>
      <c r="T1470" s="57" t="n">
        <v>3</v>
      </c>
      <c r="U1470" s="28" t="n">
        <f aca="false">V1464</f>
        <v>1.68128</v>
      </c>
      <c r="V1470" s="28" t="n">
        <f aca="false">T1470%*U1470</f>
        <v>0.0504384</v>
      </c>
    </row>
    <row r="1471" customFormat="false" ht="15" hidden="false" customHeight="false" outlineLevel="0" collapsed="false">
      <c r="A1471" s="14" t="s">
        <v>278</v>
      </c>
      <c r="B1471" s="14" t="str">
        <f aca="false">ESTRUCTURA!A109</f>
        <v>02.04.06.04</v>
      </c>
      <c r="C1471" s="14" t="s">
        <v>648</v>
      </c>
      <c r="D1471" s="14"/>
      <c r="E1471" s="14"/>
      <c r="F1471" s="14"/>
      <c r="G1471" s="14"/>
      <c r="H1471" s="14"/>
      <c r="I1471" s="14"/>
      <c r="N1471" s="1" t="s">
        <v>682</v>
      </c>
      <c r="R1471" s="55" t="s">
        <v>292</v>
      </c>
      <c r="S1471" s="56" t="n">
        <v>1</v>
      </c>
      <c r="T1471" s="57" t="n">
        <f aca="false">S1471*8/$P$1459</f>
        <v>0.032</v>
      </c>
      <c r="U1471" s="28" t="n">
        <v>5</v>
      </c>
      <c r="V1471" s="28" t="n">
        <f aca="false">T1471*U1471</f>
        <v>0.16</v>
      </c>
    </row>
    <row r="1472" customFormat="false" ht="15" hidden="false" customHeight="false" outlineLevel="0" collapsed="false">
      <c r="A1472" s="14" t="s">
        <v>279</v>
      </c>
      <c r="B1472" s="14" t="s">
        <v>314</v>
      </c>
      <c r="C1472" s="36" t="s">
        <v>281</v>
      </c>
      <c r="D1472" s="52" t="n">
        <v>100</v>
      </c>
      <c r="E1472" s="36" t="s">
        <v>282</v>
      </c>
      <c r="F1472" s="52" t="n">
        <f aca="false">D1472</f>
        <v>100</v>
      </c>
      <c r="G1472" s="14" t="s">
        <v>283</v>
      </c>
      <c r="I1472" s="36" t="s">
        <v>145</v>
      </c>
      <c r="J1472" s="53" t="n">
        <f aca="false">J1477+J1481+J1484</f>
        <v>18.8570064</v>
      </c>
      <c r="M1472" s="60"/>
      <c r="N1472" s="60"/>
      <c r="O1472" s="60"/>
      <c r="P1472" s="60"/>
      <c r="Q1472" s="60"/>
      <c r="R1472" s="60"/>
      <c r="S1472" s="60"/>
      <c r="T1472" s="60"/>
      <c r="U1472" s="60"/>
      <c r="V1472" s="89" t="n">
        <f aca="false">SUM(V1470:V1471)</f>
        <v>0.2104384</v>
      </c>
    </row>
    <row r="1473" customFormat="false" ht="15" hidden="false" customHeight="false" outlineLevel="0" collapsed="false">
      <c r="A1473" s="14" t="s">
        <v>284</v>
      </c>
      <c r="B1473" s="14" t="s">
        <v>285</v>
      </c>
      <c r="F1473" s="36" t="s">
        <v>123</v>
      </c>
      <c r="G1473" s="36" t="s">
        <v>286</v>
      </c>
      <c r="H1473" s="36" t="s">
        <v>287</v>
      </c>
      <c r="I1473" s="36" t="s">
        <v>288</v>
      </c>
      <c r="J1473" s="36" t="s">
        <v>289</v>
      </c>
    </row>
    <row r="1474" customFormat="false" ht="15" hidden="false" customHeight="false" outlineLevel="0" collapsed="false">
      <c r="B1474" s="54" t="s">
        <v>290</v>
      </c>
    </row>
    <row r="1475" customFormat="false" ht="15" hidden="false" customHeight="false" outlineLevel="0" collapsed="false">
      <c r="B1475" s="1" t="s">
        <v>651</v>
      </c>
      <c r="F1475" s="55" t="s">
        <v>292</v>
      </c>
      <c r="G1475" s="56" t="n">
        <v>0.2</v>
      </c>
      <c r="H1475" s="57" t="n">
        <f aca="false">G1475*8/$D$1472</f>
        <v>0.016</v>
      </c>
      <c r="I1475" s="28" t="n">
        <v>34.73</v>
      </c>
      <c r="J1475" s="28" t="n">
        <f aca="false">H1475*I1475</f>
        <v>0.55568</v>
      </c>
    </row>
    <row r="1476" customFormat="false" ht="15" hidden="false" customHeight="false" outlineLevel="0" collapsed="false">
      <c r="B1476" s="1" t="s">
        <v>291</v>
      </c>
      <c r="F1476" s="55" t="s">
        <v>292</v>
      </c>
      <c r="G1476" s="56" t="n">
        <v>1</v>
      </c>
      <c r="H1476" s="57" t="n">
        <f aca="false">G1476*8/$D$1472</f>
        <v>0.08</v>
      </c>
      <c r="I1476" s="28" t="n">
        <v>28.94</v>
      </c>
      <c r="J1476" s="28" t="n">
        <f aca="false">H1476*I1476</f>
        <v>2.3152</v>
      </c>
    </row>
    <row r="1477" customFormat="false" ht="15" hidden="false" customHeight="false" outlineLevel="0" collapsed="false">
      <c r="F1477" s="55"/>
      <c r="G1477" s="56"/>
      <c r="H1477" s="57"/>
      <c r="I1477" s="28"/>
      <c r="J1477" s="53" t="n">
        <f aca="false">SUM(J1475:J1476)</f>
        <v>2.87088</v>
      </c>
    </row>
    <row r="1478" customFormat="false" ht="15" hidden="false" customHeight="false" outlineLevel="0" collapsed="false">
      <c r="B1478" s="54" t="s">
        <v>295</v>
      </c>
      <c r="F1478" s="55"/>
    </row>
    <row r="1479" customFormat="false" ht="15" hidden="false" customHeight="false" outlineLevel="0" collapsed="false">
      <c r="B1479" s="1" t="s">
        <v>730</v>
      </c>
      <c r="F1479" s="55" t="s">
        <v>134</v>
      </c>
      <c r="H1479" s="57" t="n">
        <v>0.05</v>
      </c>
      <c r="I1479" s="28" t="n">
        <v>18</v>
      </c>
      <c r="J1479" s="28" t="n">
        <f aca="false">H1479*I1479</f>
        <v>0.9</v>
      </c>
    </row>
    <row r="1480" customFormat="false" ht="15" hidden="false" customHeight="false" outlineLevel="0" collapsed="false">
      <c r="B1480" s="1" t="s">
        <v>731</v>
      </c>
      <c r="F1480" s="55" t="s">
        <v>440</v>
      </c>
      <c r="H1480" s="57" t="n">
        <v>0.1</v>
      </c>
      <c r="I1480" s="28" t="n">
        <v>150</v>
      </c>
      <c r="J1480" s="28" t="n">
        <f aca="false">H1480*I1480</f>
        <v>15</v>
      </c>
    </row>
    <row r="1481" customFormat="false" ht="15" hidden="false" customHeight="false" outlineLevel="0" collapsed="false">
      <c r="J1481" s="53" t="n">
        <f aca="false">SUM(J1479:J1480)</f>
        <v>15.9</v>
      </c>
    </row>
    <row r="1482" customFormat="false" ht="15" hidden="false" customHeight="false" outlineLevel="0" collapsed="false">
      <c r="B1482" s="54" t="s">
        <v>318</v>
      </c>
    </row>
    <row r="1483" customFormat="false" ht="15" hidden="false" customHeight="false" outlineLevel="0" collapsed="false">
      <c r="B1483" s="1" t="s">
        <v>311</v>
      </c>
      <c r="F1483" s="55" t="s">
        <v>312</v>
      </c>
      <c r="H1483" s="57" t="n">
        <v>3</v>
      </c>
      <c r="I1483" s="28" t="n">
        <f aca="false">J1477</f>
        <v>2.87088</v>
      </c>
      <c r="J1483" s="28" t="n">
        <f aca="false">H1483%*I1483</f>
        <v>0.0861264</v>
      </c>
    </row>
    <row r="1484" customFormat="false" ht="15" hidden="false" customHeight="false" outlineLevel="0" collapsed="false">
      <c r="A1484" s="60"/>
      <c r="B1484" s="60"/>
      <c r="C1484" s="60"/>
      <c r="D1484" s="60"/>
      <c r="E1484" s="60"/>
      <c r="F1484" s="60"/>
      <c r="G1484" s="60"/>
      <c r="H1484" s="60"/>
      <c r="I1484" s="60"/>
      <c r="J1484" s="89" t="n">
        <f aca="false">SUM(J1483)</f>
        <v>0.0861264</v>
      </c>
    </row>
    <row r="1486" customFormat="false" ht="15" hidden="false" customHeight="false" outlineLevel="0" collapsed="false">
      <c r="O1486" s="14"/>
      <c r="P1486" s="14"/>
      <c r="Q1486" s="14"/>
      <c r="R1486" s="14"/>
      <c r="S1486" s="14"/>
      <c r="T1486" s="14"/>
      <c r="U1486" s="14"/>
      <c r="V1486" s="14"/>
      <c r="W1486" s="14"/>
    </row>
    <row r="1487" customFormat="false" ht="15" hidden="false" customHeight="false" outlineLevel="0" collapsed="false">
      <c r="A1487" s="14" t="s">
        <v>278</v>
      </c>
      <c r="B1487" s="14" t="str">
        <f aca="false">ESTRUCTURA!A111</f>
        <v>02.04.07.01</v>
      </c>
      <c r="C1487" s="14" t="s">
        <v>753</v>
      </c>
      <c r="D1487" s="14"/>
      <c r="E1487" s="14"/>
      <c r="F1487" s="14"/>
      <c r="G1487" s="14"/>
      <c r="H1487" s="14"/>
      <c r="I1487" s="14"/>
      <c r="O1487" s="14"/>
      <c r="P1487" s="14"/>
      <c r="Q1487" s="36"/>
      <c r="R1487" s="52"/>
      <c r="S1487" s="36"/>
      <c r="T1487" s="52"/>
      <c r="U1487" s="14"/>
      <c r="W1487" s="36"/>
      <c r="X1487" s="53"/>
    </row>
    <row r="1488" customFormat="false" ht="15" hidden="false" customHeight="false" outlineLevel="0" collapsed="false">
      <c r="A1488" s="14" t="s">
        <v>279</v>
      </c>
      <c r="B1488" s="14" t="s">
        <v>332</v>
      </c>
      <c r="C1488" s="36" t="s">
        <v>281</v>
      </c>
      <c r="D1488" s="52" t="n">
        <v>1</v>
      </c>
      <c r="E1488" s="36" t="s">
        <v>282</v>
      </c>
      <c r="F1488" s="52" t="n">
        <f aca="false">D1488</f>
        <v>1</v>
      </c>
      <c r="G1488" s="14" t="s">
        <v>283</v>
      </c>
      <c r="I1488" s="36" t="s">
        <v>155</v>
      </c>
      <c r="J1488" s="53" t="n">
        <f aca="false">J1492</f>
        <v>29580.5881071662</v>
      </c>
      <c r="O1488" s="14"/>
      <c r="P1488" s="14"/>
      <c r="T1488" s="36"/>
      <c r="U1488" s="36"/>
      <c r="V1488" s="36"/>
      <c r="W1488" s="36"/>
      <c r="X1488" s="36"/>
    </row>
    <row r="1489" customFormat="false" ht="15" hidden="false" customHeight="false" outlineLevel="0" collapsed="false">
      <c r="A1489" s="14" t="s">
        <v>284</v>
      </c>
      <c r="B1489" s="14" t="s">
        <v>285</v>
      </c>
      <c r="F1489" s="36" t="s">
        <v>123</v>
      </c>
      <c r="G1489" s="36" t="s">
        <v>286</v>
      </c>
      <c r="H1489" s="36" t="s">
        <v>287</v>
      </c>
      <c r="I1489" s="36" t="s">
        <v>288</v>
      </c>
      <c r="J1489" s="36" t="s">
        <v>289</v>
      </c>
      <c r="P1489" s="54"/>
    </row>
    <row r="1490" customFormat="false" ht="15" hidden="false" customHeight="false" outlineLevel="0" collapsed="false">
      <c r="B1490" s="54" t="s">
        <v>295</v>
      </c>
      <c r="T1490" s="55"/>
      <c r="U1490" s="56"/>
      <c r="V1490" s="57"/>
      <c r="W1490" s="28"/>
      <c r="X1490" s="28"/>
    </row>
    <row r="1491" customFormat="false" ht="15" hidden="false" customHeight="false" outlineLevel="0" collapsed="false">
      <c r="B1491" s="1" t="s">
        <v>753</v>
      </c>
      <c r="F1491" s="55" t="s">
        <v>155</v>
      </c>
      <c r="G1491" s="56"/>
      <c r="H1491" s="57" t="n">
        <v>1</v>
      </c>
      <c r="I1491" s="28" t="n">
        <v>29580.5881071662</v>
      </c>
      <c r="J1491" s="28" t="n">
        <f aca="false">H1491*I1491</f>
        <v>29580.5881071662</v>
      </c>
      <c r="T1491" s="55"/>
      <c r="U1491" s="56"/>
      <c r="V1491" s="57"/>
      <c r="W1491" s="28"/>
      <c r="X1491" s="53"/>
    </row>
    <row r="1492" customFormat="false" ht="15" hidden="false" customHeight="false" outlineLevel="0" collapsed="false">
      <c r="A1492" s="60"/>
      <c r="B1492" s="60"/>
      <c r="C1492" s="60"/>
      <c r="D1492" s="60"/>
      <c r="E1492" s="60"/>
      <c r="F1492" s="60"/>
      <c r="G1492" s="60"/>
      <c r="H1492" s="60"/>
      <c r="I1492" s="60"/>
      <c r="J1492" s="61" t="n">
        <f aca="false">SUM(J1491)</f>
        <v>29580.5881071662</v>
      </c>
      <c r="P1492" s="54"/>
    </row>
    <row r="1493" customFormat="false" ht="15" hidden="false" customHeight="false" outlineLevel="0" collapsed="false">
      <c r="T1493" s="55"/>
      <c r="V1493" s="57"/>
      <c r="W1493" s="28"/>
      <c r="X1493" s="28"/>
    </row>
    <row r="1494" customFormat="false" ht="15" hidden="false" customHeight="false" outlineLevel="0" collapsed="false">
      <c r="X1494" s="53"/>
    </row>
    <row r="1495" customFormat="false" ht="15" hidden="false" customHeight="false" outlineLevel="0" collapsed="false">
      <c r="P1495" s="54"/>
    </row>
    <row r="1496" customFormat="false" ht="15" hidden="false" customHeight="false" outlineLevel="0" collapsed="false">
      <c r="T1496" s="55"/>
      <c r="V1496" s="57"/>
      <c r="W1496" s="28"/>
      <c r="X1496" s="28"/>
    </row>
    <row r="1497" customFormat="false" ht="15" hidden="false" customHeight="false" outlineLevel="0" collapsed="false">
      <c r="O1497" s="60"/>
      <c r="P1497" s="60"/>
      <c r="Q1497" s="60"/>
      <c r="R1497" s="60"/>
      <c r="S1497" s="60"/>
      <c r="T1497" s="60"/>
      <c r="U1497" s="60"/>
      <c r="V1497" s="60"/>
      <c r="W1497" s="60"/>
      <c r="X1497" s="6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AE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9" activeCellId="0" sqref="G19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3.3"/>
    <col collapsed="false" customWidth="true" hidden="false" outlineLevel="0" max="8" min="8" style="1" width="13"/>
    <col collapsed="false" customWidth="true" hidden="false" outlineLevel="0" max="10" min="10" style="1" width="16.14"/>
    <col collapsed="false" customWidth="true" hidden="false" outlineLevel="0" max="11" min="11" style="1" width="15.28"/>
  </cols>
  <sheetData>
    <row r="1" customFormat="false" ht="15" hidden="false" customHeight="false" outlineLevel="0" collapsed="false">
      <c r="G1" s="36" t="s">
        <v>123</v>
      </c>
      <c r="H1" s="36" t="s">
        <v>124</v>
      </c>
      <c r="I1" s="36" t="s">
        <v>125</v>
      </c>
      <c r="J1" s="36" t="s">
        <v>126</v>
      </c>
      <c r="K1" s="36" t="s">
        <v>127</v>
      </c>
    </row>
    <row r="2" customFormat="false" ht="15" hidden="false" customHeight="false" outlineLevel="0" collapsed="false">
      <c r="A2" s="14" t="n">
        <v>3</v>
      </c>
      <c r="B2" s="66" t="s">
        <v>754</v>
      </c>
      <c r="H2" s="6"/>
      <c r="I2" s="6"/>
      <c r="J2" s="6"/>
      <c r="K2" s="38" t="n">
        <f aca="false">J3+J9+J18+J25+J32+J38+J42</f>
        <v>1971322.45634844</v>
      </c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customFormat="false" ht="15" hidden="false" customHeight="false" outlineLevel="0" collapsed="false">
      <c r="A3" s="14" t="n">
        <v>3.01</v>
      </c>
      <c r="B3" s="13" t="s">
        <v>755</v>
      </c>
      <c r="F3" s="57"/>
      <c r="J3" s="40" t="n">
        <f aca="false">SUM(J4:J8)</f>
        <v>373192.766844207</v>
      </c>
      <c r="K3" s="15"/>
      <c r="M3" s="14"/>
      <c r="N3" s="14"/>
      <c r="T3" s="15"/>
    </row>
    <row r="4" customFormat="false" ht="16.4" hidden="false" customHeight="false" outlineLevel="0" collapsed="false">
      <c r="A4" s="1" t="s">
        <v>756</v>
      </c>
      <c r="B4" s="1" t="s">
        <v>757</v>
      </c>
      <c r="F4" s="57"/>
      <c r="G4" s="105" t="s">
        <v>134</v>
      </c>
      <c r="H4" s="28" t="n">
        <f aca="false">SUM(BIBLIOTECA:INGRESO!G6:G6)</f>
        <v>1506.3993076409</v>
      </c>
      <c r="I4" s="28" t="n">
        <f aca="false">'APUS ARQUITECTURA'!J5</f>
        <v>135.824337926792</v>
      </c>
      <c r="J4" s="9" t="n">
        <f aca="false">H4*I4</f>
        <v>204605.688613703</v>
      </c>
      <c r="N4" s="14"/>
    </row>
    <row r="5" customFormat="false" ht="16.4" hidden="false" customHeight="false" outlineLevel="0" collapsed="false">
      <c r="A5" s="1" t="s">
        <v>758</v>
      </c>
      <c r="B5" s="1" t="s">
        <v>759</v>
      </c>
      <c r="F5" s="57"/>
      <c r="G5" s="105" t="s">
        <v>134</v>
      </c>
      <c r="H5" s="28" t="n">
        <f aca="false">SUM(BIBLIOTECA:INGRESO!G7:G7)</f>
        <v>619.601227722665</v>
      </c>
      <c r="I5" s="28" t="n">
        <f aca="false">'APUS ARQUITECTURA'!J32</f>
        <v>150.0657</v>
      </c>
      <c r="J5" s="9" t="n">
        <f aca="false">H5*I5</f>
        <v>92980.8919590612</v>
      </c>
      <c r="N5" s="14"/>
      <c r="O5" s="43"/>
      <c r="R5" s="28"/>
    </row>
    <row r="6" customFormat="false" ht="16.4" hidden="false" customHeight="false" outlineLevel="0" collapsed="false">
      <c r="A6" s="1" t="s">
        <v>760</v>
      </c>
      <c r="B6" s="1" t="s">
        <v>761</v>
      </c>
      <c r="F6" s="57"/>
      <c r="G6" s="105" t="s">
        <v>134</v>
      </c>
      <c r="H6" s="28" t="n">
        <f aca="false">SUM(BIBLIOTECA:INGRESO!G8:G8)</f>
        <v>182.501073453359</v>
      </c>
      <c r="I6" s="28" t="n">
        <f aca="false">'APUS ARQUITECTURA'!J50</f>
        <v>141.066794285714</v>
      </c>
      <c r="J6" s="9" t="n">
        <f aca="false">H6*I6</f>
        <v>25744.8413857671</v>
      </c>
      <c r="O6" s="43"/>
    </row>
    <row r="7" customFormat="false" ht="16.4" hidden="false" customHeight="false" outlineLevel="0" collapsed="false">
      <c r="A7" s="1" t="s">
        <v>762</v>
      </c>
      <c r="B7" s="1" t="s">
        <v>763</v>
      </c>
      <c r="G7" s="105" t="s">
        <v>134</v>
      </c>
      <c r="H7" s="28" t="n">
        <f aca="false">SUM(BIBLIOTECA:INGRESO!G9:G9)</f>
        <v>227.515013986928</v>
      </c>
      <c r="I7" s="28" t="n">
        <f aca="false">'APUS ARQUITECTURA'!J74</f>
        <v>200.942138</v>
      </c>
      <c r="J7" s="9" t="n">
        <f aca="false">H7*I7</f>
        <v>45717.3533376332</v>
      </c>
      <c r="O7" s="43"/>
    </row>
    <row r="8" customFormat="false" ht="16.4" hidden="false" customHeight="false" outlineLevel="0" collapsed="false">
      <c r="A8" s="1" t="s">
        <v>764</v>
      </c>
      <c r="B8" s="1" t="s">
        <v>765</v>
      </c>
      <c r="G8" s="105" t="s">
        <v>134</v>
      </c>
      <c r="H8" s="28" t="n">
        <f aca="false">SUM(BIBLIOTECA:INGRESO!G10:G10)</f>
        <v>13.8028171355499</v>
      </c>
      <c r="I8" s="28" t="n">
        <f aca="false">'APUS ARQUITECTURA'!J92</f>
        <v>300.227954</v>
      </c>
      <c r="J8" s="9" t="n">
        <f aca="false">H8*I8</f>
        <v>4143.99154804228</v>
      </c>
    </row>
    <row r="9" customFormat="false" ht="15" hidden="false" customHeight="false" outlineLevel="0" collapsed="false">
      <c r="A9" s="14" t="n">
        <v>3.02</v>
      </c>
      <c r="B9" s="13" t="s">
        <v>766</v>
      </c>
      <c r="F9" s="106"/>
      <c r="G9" s="6"/>
      <c r="H9" s="28"/>
      <c r="I9" s="28"/>
      <c r="J9" s="40" t="n">
        <f aca="false">J10+J13+J15</f>
        <v>431731.390910547</v>
      </c>
      <c r="T9" s="107"/>
    </row>
    <row r="10" customFormat="false" ht="15" hidden="false" customHeight="false" outlineLevel="0" collapsed="false">
      <c r="A10" s="14" t="s">
        <v>767</v>
      </c>
      <c r="B10" s="41" t="s">
        <v>768</v>
      </c>
      <c r="G10" s="6"/>
      <c r="H10" s="28"/>
      <c r="I10" s="28"/>
      <c r="J10" s="43" t="n">
        <f aca="false">SUM(J11:J12)</f>
        <v>116739.84390361</v>
      </c>
      <c r="K10" s="15"/>
      <c r="T10" s="15"/>
    </row>
    <row r="11" customFormat="false" ht="15" hidden="false" customHeight="false" outlineLevel="0" collapsed="false">
      <c r="A11" s="1" t="s">
        <v>769</v>
      </c>
      <c r="B11" s="1" t="s">
        <v>770</v>
      </c>
      <c r="F11" s="28"/>
      <c r="G11" s="6" t="s">
        <v>134</v>
      </c>
      <c r="H11" s="28" t="n">
        <f aca="false">SUM(BIBLIOTECA:INGRESO!G13:G13)</f>
        <v>2312.97127825543</v>
      </c>
      <c r="I11" s="28" t="n">
        <f aca="false">'APUS ARQUITECTURA'!J127</f>
        <v>27.1229651333333</v>
      </c>
      <c r="J11" s="9" t="n">
        <f aca="false">H11*I11</f>
        <v>62734.6393345236</v>
      </c>
      <c r="N11" s="14"/>
    </row>
    <row r="12" customFormat="false" ht="15" hidden="false" customHeight="false" outlineLevel="0" collapsed="false">
      <c r="A12" s="1" t="s">
        <v>771</v>
      </c>
      <c r="B12" s="1" t="s">
        <v>772</v>
      </c>
      <c r="F12" s="28"/>
      <c r="G12" s="6" t="s">
        <v>134</v>
      </c>
      <c r="H12" s="28" t="n">
        <f aca="false">SUM(BIBLIOTECA:INGRESO!G14:G14)</f>
        <v>1506.80117248393</v>
      </c>
      <c r="I12" s="28" t="n">
        <f aca="false">'APUS ARQUITECTURA'!J148</f>
        <v>35.8409626666667</v>
      </c>
      <c r="J12" s="9" t="n">
        <f aca="false">H12*I12</f>
        <v>54005.2045690861</v>
      </c>
    </row>
    <row r="13" customFormat="false" ht="15" hidden="false" customHeight="false" outlineLevel="0" collapsed="false">
      <c r="A13" s="14" t="s">
        <v>773</v>
      </c>
      <c r="B13" s="41" t="s">
        <v>774</v>
      </c>
      <c r="F13" s="28"/>
      <c r="G13" s="6"/>
      <c r="H13" s="28"/>
      <c r="I13" s="28"/>
      <c r="J13" s="43" t="n">
        <f aca="false">SUM(J14)</f>
        <v>90476.8453121512</v>
      </c>
      <c r="T13" s="26"/>
    </row>
    <row r="14" customFormat="false" ht="15" hidden="false" customHeight="false" outlineLevel="0" collapsed="false">
      <c r="A14" s="1" t="s">
        <v>775</v>
      </c>
      <c r="B14" s="1" t="s">
        <v>776</v>
      </c>
      <c r="F14" s="28"/>
      <c r="G14" s="6" t="s">
        <v>134</v>
      </c>
      <c r="H14" s="28" t="n">
        <f aca="false">SUM(BIBLIOTECA:INGRESO!G16:G16)</f>
        <v>996.157100951306</v>
      </c>
      <c r="I14" s="28" t="n">
        <f aca="false">'APUS ARQUITECTURA'!J168</f>
        <v>90.82588</v>
      </c>
      <c r="J14" s="9" t="n">
        <f aca="false">H14*I14</f>
        <v>90476.8453121512</v>
      </c>
    </row>
    <row r="15" customFormat="false" ht="15" hidden="false" customHeight="false" outlineLevel="0" collapsed="false">
      <c r="A15" s="14" t="s">
        <v>777</v>
      </c>
      <c r="B15" s="41" t="s">
        <v>778</v>
      </c>
      <c r="E15" s="57"/>
      <c r="G15" s="108"/>
      <c r="H15" s="28"/>
      <c r="J15" s="43" t="n">
        <f aca="false">SUM(J16:J17)</f>
        <v>224514.701694787</v>
      </c>
      <c r="K15" s="15"/>
      <c r="T15" s="26"/>
    </row>
    <row r="16" customFormat="false" ht="15" hidden="false" customHeight="false" outlineLevel="0" collapsed="false">
      <c r="A16" s="1" t="s">
        <v>779</v>
      </c>
      <c r="B16" s="1" t="s">
        <v>780</v>
      </c>
      <c r="F16" s="57"/>
      <c r="G16" s="6" t="s">
        <v>204</v>
      </c>
      <c r="H16" s="28" t="n">
        <f aca="false">SUM(BIBLIOTECA:INGRESO!G18:G18)</f>
        <v>633.83</v>
      </c>
      <c r="I16" s="28" t="n">
        <f aca="false">'APUS ARQUITECTURA'!J188</f>
        <v>212.282155333333</v>
      </c>
      <c r="J16" s="9" t="n">
        <f aca="false">H16*I16</f>
        <v>134550.798514927</v>
      </c>
    </row>
    <row r="17" customFormat="false" ht="15" hidden="false" customHeight="false" outlineLevel="0" collapsed="false">
      <c r="A17" s="1" t="s">
        <v>781</v>
      </c>
      <c r="B17" s="1" t="s">
        <v>782</v>
      </c>
      <c r="G17" s="6" t="s">
        <v>204</v>
      </c>
      <c r="H17" s="28" t="n">
        <f aca="false">SUM(BIBLIOTECA:INGRESO!G19:G19)</f>
        <v>1435.67</v>
      </c>
      <c r="I17" s="28" t="n">
        <f aca="false">'APUS ARQUITECTURA'!J212</f>
        <v>62.663358</v>
      </c>
      <c r="J17" s="9" t="n">
        <f aca="false">H17*I17</f>
        <v>89963.90317986</v>
      </c>
    </row>
    <row r="18" customFormat="false" ht="15" hidden="false" customHeight="false" outlineLevel="0" collapsed="false">
      <c r="A18" s="14" t="n">
        <v>3.03</v>
      </c>
      <c r="B18" s="13" t="s">
        <v>783</v>
      </c>
      <c r="F18" s="57"/>
      <c r="G18" s="6"/>
      <c r="H18" s="28"/>
      <c r="J18" s="40" t="n">
        <f aca="false">SUM(J19:J24)</f>
        <v>444496.533537269</v>
      </c>
      <c r="K18" s="15"/>
      <c r="T18" s="15"/>
    </row>
    <row r="19" customFormat="false" ht="15" hidden="false" customHeight="false" outlineLevel="0" collapsed="false">
      <c r="A19" s="1" t="s">
        <v>784</v>
      </c>
      <c r="B19" s="1" t="s">
        <v>785</v>
      </c>
      <c r="G19" s="6" t="s">
        <v>134</v>
      </c>
      <c r="H19" s="28" t="n">
        <f aca="false">SUM(BIBLIOTECA:INGRESO!G21:G21)</f>
        <v>1976.72</v>
      </c>
      <c r="I19" s="28" t="n">
        <f aca="false">'APUS ARQUITECTURA'!J232</f>
        <v>40.18468579</v>
      </c>
      <c r="J19" s="9" t="n">
        <f aca="false">H19*I19</f>
        <v>79433.8720948088</v>
      </c>
    </row>
    <row r="20" customFormat="false" ht="15" hidden="false" customHeight="false" outlineLevel="0" collapsed="false">
      <c r="A20" s="1" t="s">
        <v>786</v>
      </c>
      <c r="B20" s="1" t="s">
        <v>787</v>
      </c>
      <c r="G20" s="6" t="s">
        <v>134</v>
      </c>
      <c r="H20" s="28" t="n">
        <f aca="false">SUM(BIBLIOTECA:INGRESO!G22:G22)</f>
        <v>778.49</v>
      </c>
      <c r="I20" s="28" t="n">
        <f aca="false">'APUS ARQUITECTURA'!J252</f>
        <v>206.773372</v>
      </c>
      <c r="J20" s="9" t="n">
        <f aca="false">H20*I20</f>
        <v>160971.00236828</v>
      </c>
      <c r="N20" s="14"/>
    </row>
    <row r="21" customFormat="false" ht="15" hidden="false" customHeight="false" outlineLevel="0" collapsed="false">
      <c r="A21" s="1" t="s">
        <v>788</v>
      </c>
      <c r="B21" s="1" t="s">
        <v>789</v>
      </c>
      <c r="G21" s="6" t="s">
        <v>134</v>
      </c>
      <c r="H21" s="28" t="n">
        <f aca="false">SUM(BIBLIOTECA:INGRESO!G23:G23)</f>
        <v>330.81</v>
      </c>
      <c r="I21" s="28" t="n">
        <f aca="false">'APUS ARQUITECTURA'!J272</f>
        <v>102.656028</v>
      </c>
      <c r="J21" s="9" t="n">
        <f aca="false">H21*I21</f>
        <v>33959.64062268</v>
      </c>
    </row>
    <row r="22" customFormat="false" ht="15" hidden="false" customHeight="false" outlineLevel="0" collapsed="false">
      <c r="A22" s="1" t="s">
        <v>790</v>
      </c>
      <c r="B22" s="1" t="s">
        <v>791</v>
      </c>
      <c r="G22" s="6" t="s">
        <v>134</v>
      </c>
      <c r="H22" s="28" t="n">
        <f aca="false">SUM(BIBLIOTECA:INGRESO!G24:G24)</f>
        <v>189.92</v>
      </c>
      <c r="I22" s="28" t="n">
        <f aca="false">'APUS ARQUITECTURA'!J292</f>
        <v>47.4322</v>
      </c>
      <c r="J22" s="9" t="n">
        <f aca="false">H22*I22</f>
        <v>9008.323424</v>
      </c>
    </row>
    <row r="23" customFormat="false" ht="15" hidden="false" customHeight="false" outlineLevel="0" collapsed="false">
      <c r="A23" s="1" t="s">
        <v>792</v>
      </c>
      <c r="B23" s="1" t="s">
        <v>793</v>
      </c>
      <c r="G23" s="6" t="s">
        <v>134</v>
      </c>
      <c r="H23" s="28" t="n">
        <f aca="false">SUM(BIBLIOTECA:INGRESO!G25:G25)</f>
        <v>48.75</v>
      </c>
      <c r="I23" s="28" t="n">
        <f aca="false">'APUS ARQUITECTURA'!J318</f>
        <v>51.986298</v>
      </c>
      <c r="J23" s="9" t="n">
        <f aca="false">H23*I23</f>
        <v>2534.3320275</v>
      </c>
      <c r="O23" s="6"/>
    </row>
    <row r="24" customFormat="false" ht="15" hidden="false" customHeight="false" outlineLevel="0" collapsed="false">
      <c r="A24" s="1" t="s">
        <v>794</v>
      </c>
      <c r="B24" s="1" t="s">
        <v>795</v>
      </c>
      <c r="G24" s="6" t="s">
        <v>134</v>
      </c>
      <c r="H24" s="28" t="n">
        <f aca="false">SUM(BIBLIOTECA:INGRESO!G26:G26)</f>
        <v>788.1</v>
      </c>
      <c r="I24" s="28" t="n">
        <f aca="false">'APUS ARQUITECTURA'!J340</f>
        <v>201.23</v>
      </c>
      <c r="J24" s="9" t="n">
        <f aca="false">H24*I24</f>
        <v>158589.363</v>
      </c>
      <c r="O24" s="6"/>
    </row>
    <row r="25" customFormat="false" ht="15" hidden="false" customHeight="false" outlineLevel="0" collapsed="false">
      <c r="A25" s="14" t="n">
        <v>3.04</v>
      </c>
      <c r="B25" s="13" t="s">
        <v>796</v>
      </c>
      <c r="G25" s="6"/>
      <c r="H25" s="28"/>
      <c r="J25" s="40" t="n">
        <f aca="false">SUM(J26:J31)</f>
        <v>58459.1471451743</v>
      </c>
      <c r="O25" s="6"/>
      <c r="T25" s="15"/>
    </row>
    <row r="26" customFormat="false" ht="15" hidden="false" customHeight="false" outlineLevel="0" collapsed="false">
      <c r="A26" s="1" t="s">
        <v>797</v>
      </c>
      <c r="B26" s="1" t="s">
        <v>798</v>
      </c>
      <c r="G26" s="6" t="s">
        <v>145</v>
      </c>
      <c r="H26" s="28" t="n">
        <f aca="false">SUM(BIBLIOTECA:INGRESO!G28:G28)</f>
        <v>83.8486010273973</v>
      </c>
      <c r="I26" s="28" t="n">
        <f aca="false">'APUS ARQUITECTURA'!J347</f>
        <v>20.56998</v>
      </c>
      <c r="J26" s="9" t="n">
        <f aca="false">H26*I26</f>
        <v>1724.76404616154</v>
      </c>
      <c r="O26" s="6"/>
    </row>
    <row r="27" customFormat="false" ht="15" hidden="false" customHeight="false" outlineLevel="0" collapsed="false">
      <c r="A27" s="1" t="s">
        <v>799</v>
      </c>
      <c r="B27" s="1" t="s">
        <v>800</v>
      </c>
      <c r="G27" s="6" t="s">
        <v>145</v>
      </c>
      <c r="H27" s="28" t="n">
        <f aca="false">SUM(BIBLIOTECA:INGRESO!G29:G29)</f>
        <v>804.890777419355</v>
      </c>
      <c r="I27" s="28" t="n">
        <f aca="false">'APUS ARQUITECTURA'!J364</f>
        <v>26.68748</v>
      </c>
      <c r="J27" s="9" t="n">
        <f aca="false">H27*I27</f>
        <v>21480.5065245635</v>
      </c>
      <c r="N27" s="14"/>
      <c r="O27" s="6"/>
    </row>
    <row r="28" customFormat="false" ht="15" hidden="false" customHeight="false" outlineLevel="0" collapsed="false">
      <c r="A28" s="1" t="s">
        <v>801</v>
      </c>
      <c r="B28" s="1" t="s">
        <v>802</v>
      </c>
      <c r="G28" s="6" t="s">
        <v>145</v>
      </c>
      <c r="H28" s="28" t="n">
        <f aca="false">SUM(BIBLIOTECA:INGRESO!G30:G30)</f>
        <v>412.990122885044</v>
      </c>
      <c r="I28" s="28" t="n">
        <f aca="false">'APUS ARQUITECTURA'!J383</f>
        <v>36.537022</v>
      </c>
      <c r="J28" s="9" t="n">
        <f aca="false">H28*I28</f>
        <v>15089.4292056336</v>
      </c>
      <c r="O28" s="6"/>
    </row>
    <row r="29" customFormat="false" ht="15" hidden="false" customHeight="false" outlineLevel="0" collapsed="false">
      <c r="A29" s="1" t="s">
        <v>803</v>
      </c>
      <c r="B29" s="1" t="s">
        <v>804</v>
      </c>
      <c r="G29" s="6" t="s">
        <v>145</v>
      </c>
      <c r="H29" s="28" t="n">
        <f aca="false">SUM(BIBLIOTECA:INGRESO!G31:G31)</f>
        <v>359.570625</v>
      </c>
      <c r="I29" s="28" t="n">
        <f aca="false">'APUS ARQUITECTURA'!J403</f>
        <v>25</v>
      </c>
      <c r="J29" s="9" t="n">
        <f aca="false">H29*I29</f>
        <v>8989.265625</v>
      </c>
      <c r="O29" s="6"/>
    </row>
    <row r="30" customFormat="false" ht="15" hidden="false" customHeight="false" outlineLevel="0" collapsed="false">
      <c r="A30" s="1" t="s">
        <v>805</v>
      </c>
      <c r="B30" s="1" t="s">
        <v>806</v>
      </c>
      <c r="G30" s="6" t="s">
        <v>145</v>
      </c>
      <c r="H30" s="28" t="n">
        <f aca="false">SUM(BIBLIOTECA:INGRESO!G32:G32)</f>
        <v>1.41746341463415</v>
      </c>
      <c r="I30" s="28" t="n">
        <f aca="false">'APUS ARQUITECTURA'!J410</f>
        <v>44.1927466666667</v>
      </c>
      <c r="J30" s="9" t="n">
        <f aca="false">H30*I30</f>
        <v>62.6416015921951</v>
      </c>
      <c r="O30" s="6"/>
    </row>
    <row r="31" customFormat="false" ht="15" hidden="false" customHeight="false" outlineLevel="0" collapsed="false">
      <c r="A31" s="1" t="s">
        <v>807</v>
      </c>
      <c r="B31" s="1" t="s">
        <v>808</v>
      </c>
      <c r="G31" s="6" t="s">
        <v>145</v>
      </c>
      <c r="H31" s="28" t="n">
        <f aca="false">SUM(BIBLIOTECA:INGRESO!G33:G33)</f>
        <v>131.60515</v>
      </c>
      <c r="I31" s="28" t="n">
        <f aca="false">'APUS ARQUITECTURA'!J430</f>
        <v>84.43849</v>
      </c>
      <c r="J31" s="9" t="n">
        <f aca="false">H31*I31</f>
        <v>11112.5401422235</v>
      </c>
      <c r="O31" s="6"/>
    </row>
    <row r="32" customFormat="false" ht="15" hidden="false" customHeight="false" outlineLevel="0" collapsed="false">
      <c r="A32" s="14" t="n">
        <v>3.05</v>
      </c>
      <c r="B32" s="13" t="s">
        <v>809</v>
      </c>
      <c r="G32" s="6"/>
      <c r="H32" s="28"/>
      <c r="I32" s="28"/>
      <c r="J32" s="40" t="n">
        <f aca="false">SUM(J33:J37)</f>
        <v>405145.076072823</v>
      </c>
      <c r="O32" s="6"/>
      <c r="T32" s="15"/>
    </row>
    <row r="33" customFormat="false" ht="15" hidden="false" customHeight="false" outlineLevel="0" collapsed="false">
      <c r="A33" s="1" t="s">
        <v>810</v>
      </c>
      <c r="B33" s="1" t="s">
        <v>811</v>
      </c>
      <c r="G33" s="6" t="s">
        <v>134</v>
      </c>
      <c r="H33" s="28" t="n">
        <f aca="false">SUM(BIBLIOTECA:INGRESO!G35:G35)</f>
        <v>194.004299813345</v>
      </c>
      <c r="I33" s="28" t="n">
        <f aca="false">'APUS ARQUITECTURA'!J449</f>
        <v>560.6226</v>
      </c>
      <c r="J33" s="9" t="n">
        <f aca="false">H33*I33</f>
        <v>108763.194972537</v>
      </c>
      <c r="O33" s="6"/>
    </row>
    <row r="34" customFormat="false" ht="15" hidden="false" customHeight="false" outlineLevel="0" collapsed="false">
      <c r="A34" s="1" t="s">
        <v>812</v>
      </c>
      <c r="B34" s="1" t="s">
        <v>813</v>
      </c>
      <c r="G34" s="6" t="s">
        <v>134</v>
      </c>
      <c r="H34" s="28" t="n">
        <f aca="false">SUM(BIBLIOTECA:INGRESO!G36:G36)</f>
        <v>336.197545855497</v>
      </c>
      <c r="I34" s="28" t="n">
        <f aca="false">'APUS ARQUITECTURA'!J456</f>
        <v>367.870834240906</v>
      </c>
      <c r="J34" s="9" t="n">
        <f aca="false">H34*I34</f>
        <v>123677.271663607</v>
      </c>
      <c r="N34" s="14"/>
      <c r="O34" s="6"/>
    </row>
    <row r="35" customFormat="false" ht="15" hidden="false" customHeight="false" outlineLevel="0" collapsed="false">
      <c r="A35" s="1" t="s">
        <v>814</v>
      </c>
      <c r="B35" s="1" t="s">
        <v>815</v>
      </c>
      <c r="G35" s="6" t="s">
        <v>134</v>
      </c>
      <c r="H35" s="28" t="n">
        <f aca="false">SUM(BIBLIOTECA:INGRESO!G37:G37)</f>
        <v>24.1907216494845</v>
      </c>
      <c r="I35" s="28" t="n">
        <f aca="false">'APUS ARQUITECTURA'!J463</f>
        <v>514.537194137164</v>
      </c>
      <c r="J35" s="9" t="n">
        <f aca="false">H35*I35</f>
        <v>12447.0260416789</v>
      </c>
      <c r="O35" s="6"/>
    </row>
    <row r="36" customFormat="false" ht="15" hidden="false" customHeight="false" outlineLevel="0" collapsed="false">
      <c r="A36" s="1" t="s">
        <v>816</v>
      </c>
      <c r="B36" s="1" t="s">
        <v>817</v>
      </c>
      <c r="G36" s="6" t="s">
        <v>145</v>
      </c>
      <c r="H36" s="28" t="n">
        <f aca="false">SUM(BIBLIOTECA:INGRESO!G38:G38)</f>
        <v>255.3915</v>
      </c>
      <c r="I36" s="28" t="n">
        <f aca="false">'APUS ARQUITECTURA'!J470</f>
        <v>622.13</v>
      </c>
      <c r="J36" s="9" t="n">
        <f aca="false">H36*I36</f>
        <v>158886.713895</v>
      </c>
      <c r="O36" s="6"/>
    </row>
    <row r="37" customFormat="false" ht="15" hidden="false" customHeight="false" outlineLevel="0" collapsed="false">
      <c r="A37" s="1" t="s">
        <v>818</v>
      </c>
      <c r="B37" s="1" t="s">
        <v>819</v>
      </c>
      <c r="G37" s="6" t="s">
        <v>134</v>
      </c>
      <c r="H37" s="28" t="n">
        <f aca="false">SUM(BIBLIOTECA:INGRESO!G39:G39)</f>
        <v>25.025</v>
      </c>
      <c r="I37" s="28" t="n">
        <f aca="false">'APUS ARQUITECTURA'!J477</f>
        <v>54.78</v>
      </c>
      <c r="J37" s="9" t="n">
        <f aca="false">H37*I37</f>
        <v>1370.8695</v>
      </c>
      <c r="O37" s="6"/>
    </row>
    <row r="38" customFormat="false" ht="15" hidden="false" customHeight="false" outlineLevel="0" collapsed="false">
      <c r="A38" s="14" t="n">
        <v>3.06</v>
      </c>
      <c r="B38" s="13" t="s">
        <v>820</v>
      </c>
      <c r="G38" s="6"/>
      <c r="H38" s="28"/>
      <c r="J38" s="40" t="n">
        <f aca="false">SUM(J39:J40)</f>
        <v>78883.5339623021</v>
      </c>
      <c r="O38" s="6"/>
      <c r="T38" s="15"/>
    </row>
    <row r="39" customFormat="false" ht="15" hidden="false" customHeight="false" outlineLevel="0" collapsed="false">
      <c r="A39" s="1" t="s">
        <v>821</v>
      </c>
      <c r="B39" s="1" t="s">
        <v>822</v>
      </c>
      <c r="G39" s="6" t="s">
        <v>134</v>
      </c>
      <c r="H39" s="28" t="n">
        <f aca="false">SUM(BIBLIOTECA:INGRESO!G41:G41)</f>
        <v>3556.41161076126</v>
      </c>
      <c r="I39" s="28" t="n">
        <f aca="false">'APUS ARQUITECTURA'!J484</f>
        <v>15.625164</v>
      </c>
      <c r="J39" s="9" t="n">
        <f aca="false">H39*I39</f>
        <v>55569.5146696488</v>
      </c>
      <c r="O39" s="6"/>
    </row>
    <row r="40" customFormat="false" ht="15" hidden="false" customHeight="false" outlineLevel="0" collapsed="false">
      <c r="A40" s="1" t="s">
        <v>823</v>
      </c>
      <c r="B40" s="1" t="s">
        <v>824</v>
      </c>
      <c r="C40" s="109"/>
      <c r="D40" s="109"/>
      <c r="E40" s="109"/>
      <c r="G40" s="110" t="s">
        <v>134</v>
      </c>
      <c r="H40" s="28" t="n">
        <f aca="false">SUM(BIBLIOTECA:INGRESO!G42:G42)</f>
        <v>1461.11821319992</v>
      </c>
      <c r="I40" s="28" t="n">
        <f aca="false">'APUS ARQUITECTURA'!J504</f>
        <v>15.9562854545455</v>
      </c>
      <c r="J40" s="9" t="n">
        <f aca="false">H40*I40</f>
        <v>23314.0192926533</v>
      </c>
      <c r="N40" s="14"/>
      <c r="O40" s="6"/>
      <c r="U40" s="109"/>
    </row>
    <row r="41" customFormat="false" ht="15" hidden="false" customHeight="false" outlineLevel="0" collapsed="false">
      <c r="C41" s="109"/>
      <c r="D41" s="109"/>
      <c r="E41" s="109"/>
      <c r="G41" s="110"/>
      <c r="H41" s="28"/>
      <c r="I41" s="28"/>
      <c r="J41" s="9"/>
      <c r="O41" s="6"/>
    </row>
    <row r="42" customFormat="false" ht="15" hidden="false" customHeight="false" outlineLevel="0" collapsed="false">
      <c r="A42" s="14" t="n">
        <v>3.07</v>
      </c>
      <c r="B42" s="13" t="s">
        <v>591</v>
      </c>
      <c r="G42" s="6"/>
      <c r="H42" s="28"/>
      <c r="J42" s="40" t="n">
        <f aca="false">J43+J47+J49+J51+J53+J55+J57+J62+J64</f>
        <v>179414.007876118</v>
      </c>
      <c r="O42" s="6"/>
    </row>
    <row r="43" customFormat="false" ht="15" hidden="false" customHeight="false" outlineLevel="0" collapsed="false">
      <c r="A43" s="14" t="s">
        <v>825</v>
      </c>
      <c r="B43" s="41" t="s">
        <v>74</v>
      </c>
      <c r="G43" s="6"/>
      <c r="H43" s="28"/>
      <c r="I43" s="28"/>
      <c r="J43" s="43" t="n">
        <f aca="false">SUM(J44:J46)</f>
        <v>155976.1589168</v>
      </c>
      <c r="K43" s="111"/>
      <c r="N43" s="14"/>
      <c r="O43" s="6"/>
    </row>
    <row r="44" customFormat="false" ht="15" hidden="false" customHeight="false" outlineLevel="0" collapsed="false">
      <c r="A44" s="1" t="s">
        <v>826</v>
      </c>
      <c r="B44" s="1" t="s">
        <v>827</v>
      </c>
      <c r="G44" s="6" t="s">
        <v>134</v>
      </c>
      <c r="H44" s="28" t="n">
        <f aca="false">'Obras exteriores '!D5</f>
        <v>3121.35</v>
      </c>
      <c r="I44" s="28" t="n">
        <f aca="false">'APUS ARQUITECTURA'!J525</f>
        <v>13.4785886933566</v>
      </c>
      <c r="J44" s="9" t="n">
        <f aca="false">H44*I44</f>
        <v>42071.3928180085</v>
      </c>
      <c r="O44" s="6"/>
    </row>
    <row r="45" customFormat="false" ht="15" hidden="false" customHeight="false" outlineLevel="0" collapsed="false">
      <c r="A45" s="1" t="s">
        <v>828</v>
      </c>
      <c r="B45" s="1" t="s">
        <v>829</v>
      </c>
      <c r="G45" s="6" t="s">
        <v>150</v>
      </c>
      <c r="H45" s="28" t="n">
        <f aca="false">'Obras exteriores '!D6</f>
        <v>1040.45</v>
      </c>
      <c r="I45" s="28" t="n">
        <f aca="false">'APUS ARQUITECTURA'!J541</f>
        <v>73.8521214933566</v>
      </c>
      <c r="J45" s="9" t="n">
        <f aca="false">H45*I45</f>
        <v>76839.4398077628</v>
      </c>
      <c r="O45" s="6"/>
    </row>
    <row r="46" customFormat="false" ht="15" hidden="false" customHeight="false" outlineLevel="0" collapsed="false">
      <c r="A46" s="1" t="s">
        <v>830</v>
      </c>
      <c r="B46" s="1" t="s">
        <v>831</v>
      </c>
      <c r="G46" s="6" t="s">
        <v>150</v>
      </c>
      <c r="H46" s="28" t="n">
        <f aca="false">'Obras exteriores '!D7</f>
        <v>312.135</v>
      </c>
      <c r="I46" s="28" t="n">
        <f aca="false">'APUS ARQUITECTURA'!J558</f>
        <v>118.747741493357</v>
      </c>
      <c r="J46" s="9" t="n">
        <f aca="false">H46*I46</f>
        <v>37065.3262910289</v>
      </c>
      <c r="O46" s="6"/>
    </row>
    <row r="47" customFormat="false" ht="15" hidden="false" customHeight="false" outlineLevel="0" collapsed="false">
      <c r="A47" s="14" t="s">
        <v>832</v>
      </c>
      <c r="B47" s="41" t="s">
        <v>75</v>
      </c>
      <c r="G47" s="6"/>
      <c r="H47" s="28"/>
      <c r="I47" s="28"/>
      <c r="J47" s="43" t="n">
        <f aca="false">SUM(J48)</f>
        <v>5190.21725888</v>
      </c>
      <c r="K47" s="111"/>
      <c r="O47" s="6"/>
      <c r="R47" s="55"/>
    </row>
    <row r="48" customFormat="false" ht="15" hidden="false" customHeight="false" outlineLevel="0" collapsed="false">
      <c r="A48" s="1" t="s">
        <v>833</v>
      </c>
      <c r="B48" s="1" t="s">
        <v>834</v>
      </c>
      <c r="G48" s="6" t="s">
        <v>145</v>
      </c>
      <c r="H48" s="28" t="n">
        <f aca="false">'Obras exteriores '!D21</f>
        <v>101.6525</v>
      </c>
      <c r="I48" s="28" t="n">
        <f aca="false">'APUS ARQUITECTURA'!J575</f>
        <v>51.058432</v>
      </c>
      <c r="J48" s="9" t="n">
        <f aca="false">H48*I48</f>
        <v>5190.21725888</v>
      </c>
      <c r="O48" s="6"/>
      <c r="R48" s="55"/>
    </row>
    <row r="49" customFormat="false" ht="15" hidden="false" customHeight="false" outlineLevel="0" collapsed="false">
      <c r="A49" s="14" t="s">
        <v>835</v>
      </c>
      <c r="B49" s="41" t="s">
        <v>836</v>
      </c>
      <c r="G49" s="6"/>
      <c r="H49" s="28"/>
      <c r="I49" s="28"/>
      <c r="J49" s="43" t="n">
        <f aca="false">SUM(J50)</f>
        <v>126.62491136</v>
      </c>
      <c r="K49" s="111"/>
      <c r="O49" s="6"/>
    </row>
    <row r="50" customFormat="false" ht="15" hidden="false" customHeight="false" outlineLevel="0" collapsed="false">
      <c r="A50" s="1" t="s">
        <v>837</v>
      </c>
      <c r="B50" s="1" t="s">
        <v>838</v>
      </c>
      <c r="G50" s="6" t="s">
        <v>145</v>
      </c>
      <c r="H50" s="28" t="n">
        <f aca="false">'Obras exteriores '!D37</f>
        <v>2.48</v>
      </c>
      <c r="I50" s="28" t="n">
        <f aca="false">'APUS ARQUITECTURA'!J591</f>
        <v>51.058432</v>
      </c>
      <c r="J50" s="9" t="n">
        <f aca="false">H50*I50</f>
        <v>126.62491136</v>
      </c>
      <c r="O50" s="6"/>
      <c r="Q50" s="57"/>
      <c r="R50" s="55"/>
    </row>
    <row r="51" customFormat="false" ht="15" hidden="false" customHeight="false" outlineLevel="0" collapsed="false">
      <c r="A51" s="14" t="s">
        <v>839</v>
      </c>
      <c r="B51" s="41" t="s">
        <v>80</v>
      </c>
      <c r="G51" s="6"/>
      <c r="H51" s="28"/>
      <c r="I51" s="28"/>
      <c r="J51" s="43" t="n">
        <f aca="false">SUM(J52)</f>
        <v>4759.77458316</v>
      </c>
      <c r="K51" s="111"/>
      <c r="O51" s="6"/>
      <c r="Q51" s="57"/>
      <c r="R51" s="55"/>
    </row>
    <row r="52" customFormat="false" ht="15" hidden="false" customHeight="false" outlineLevel="0" collapsed="false">
      <c r="A52" s="1" t="s">
        <v>840</v>
      </c>
      <c r="B52" s="1" t="s">
        <v>841</v>
      </c>
      <c r="G52" s="6" t="s">
        <v>134</v>
      </c>
      <c r="H52" s="28" t="n">
        <f aca="false">'Obras exteriores '!D51</f>
        <v>481.71</v>
      </c>
      <c r="I52" s="28" t="n">
        <f aca="false">'APUS ARQUITECTURA'!J607</f>
        <v>9.880996</v>
      </c>
      <c r="J52" s="9" t="n">
        <f aca="false">H52*I52</f>
        <v>4759.77458316</v>
      </c>
      <c r="O52" s="6"/>
      <c r="Q52" s="57"/>
      <c r="R52" s="55"/>
    </row>
    <row r="53" customFormat="false" ht="15" hidden="false" customHeight="false" outlineLevel="0" collapsed="false">
      <c r="A53" s="14" t="s">
        <v>842</v>
      </c>
      <c r="B53" s="41" t="s">
        <v>81</v>
      </c>
      <c r="G53" s="6"/>
      <c r="H53" s="28"/>
      <c r="J53" s="43" t="n">
        <f aca="false">SUM(J54)</f>
        <v>220</v>
      </c>
      <c r="K53" s="111"/>
      <c r="O53" s="6"/>
      <c r="Q53" s="57"/>
      <c r="R53" s="55"/>
    </row>
    <row r="54" customFormat="false" ht="15" hidden="false" customHeight="false" outlineLevel="0" collapsed="false">
      <c r="A54" s="1" t="s">
        <v>843</v>
      </c>
      <c r="B54" s="1" t="s">
        <v>844</v>
      </c>
      <c r="G54" s="6" t="s">
        <v>155</v>
      </c>
      <c r="H54" s="28" t="n">
        <f aca="false">'Obras exteriores '!D60</f>
        <v>10</v>
      </c>
      <c r="I54" s="28" t="n">
        <f aca="false">'APUS ARQUITECTURA'!J618</f>
        <v>22</v>
      </c>
      <c r="J54" s="9" t="n">
        <f aca="false">H54*I54</f>
        <v>220</v>
      </c>
      <c r="O54" s="6"/>
      <c r="Q54" s="57"/>
      <c r="R54" s="55"/>
    </row>
    <row r="55" customFormat="false" ht="15" hidden="false" customHeight="false" outlineLevel="0" collapsed="false">
      <c r="A55" s="14" t="s">
        <v>845</v>
      </c>
      <c r="B55" s="41" t="s">
        <v>82</v>
      </c>
      <c r="G55" s="6"/>
      <c r="H55" s="28"/>
      <c r="J55" s="43" t="n">
        <f aca="false">SUM(J56)</f>
        <v>754.6</v>
      </c>
      <c r="K55" s="111"/>
      <c r="O55" s="6"/>
      <c r="Q55" s="57"/>
      <c r="R55" s="55"/>
    </row>
    <row r="56" customFormat="false" ht="15" hidden="false" customHeight="false" outlineLevel="0" collapsed="false">
      <c r="A56" s="1" t="s">
        <v>846</v>
      </c>
      <c r="B56" s="1" t="s">
        <v>82</v>
      </c>
      <c r="G56" s="6" t="s">
        <v>134</v>
      </c>
      <c r="H56" s="28" t="n">
        <f aca="false">'Obras exteriores '!D66</f>
        <v>10</v>
      </c>
      <c r="I56" s="28" t="n">
        <f aca="false">'APUS ARQUITECTURA'!J625</f>
        <v>75.46</v>
      </c>
      <c r="J56" s="9" t="n">
        <f aca="false">H56*I56</f>
        <v>754.6</v>
      </c>
      <c r="O56" s="6"/>
      <c r="Q56" s="57"/>
      <c r="R56" s="55"/>
    </row>
    <row r="57" customFormat="false" ht="15" hidden="false" customHeight="false" outlineLevel="0" collapsed="false">
      <c r="A57" s="14" t="s">
        <v>847</v>
      </c>
      <c r="B57" s="41" t="s">
        <v>640</v>
      </c>
      <c r="G57" s="6"/>
      <c r="H57" s="28"/>
      <c r="J57" s="43" t="n">
        <f aca="false">SUM(J58)</f>
        <v>2385.74121212121</v>
      </c>
      <c r="K57" s="111"/>
      <c r="O57" s="6"/>
      <c r="Q57" s="57"/>
      <c r="R57" s="55"/>
    </row>
    <row r="58" customFormat="false" ht="15" hidden="false" customHeight="false" outlineLevel="0" collapsed="false">
      <c r="A58" s="1" t="s">
        <v>848</v>
      </c>
      <c r="B58" s="1" t="s">
        <v>849</v>
      </c>
      <c r="G58" s="6" t="s">
        <v>145</v>
      </c>
      <c r="H58" s="28" t="n">
        <f aca="false">'Obras exteriores '!D86</f>
        <v>21.6060606060606</v>
      </c>
      <c r="I58" s="28" t="n">
        <f aca="false">'APUS ARQUITECTURA'!J632</f>
        <v>110.42</v>
      </c>
      <c r="J58" s="9" t="n">
        <f aca="false">H58*I58</f>
        <v>2385.74121212121</v>
      </c>
      <c r="O58" s="6"/>
      <c r="Q58" s="57"/>
      <c r="R58" s="55"/>
    </row>
    <row r="59" customFormat="false" ht="15" hidden="false" customHeight="false" outlineLevel="0" collapsed="false">
      <c r="A59" s="1" t="s">
        <v>850</v>
      </c>
      <c r="B59" s="1" t="s">
        <v>851</v>
      </c>
      <c r="G59" s="6" t="s">
        <v>134</v>
      </c>
      <c r="H59" s="28" t="n">
        <f aca="false">'Obras exteriores '!D88</f>
        <v>3.86363636363636</v>
      </c>
      <c r="I59" s="28" t="n">
        <f aca="false">'APUS ARQUITECTURA'!J639</f>
        <v>67.7683724615385</v>
      </c>
      <c r="J59" s="9" t="n">
        <f aca="false">H59*I59</f>
        <v>261.832348146853</v>
      </c>
      <c r="Q59" s="57"/>
      <c r="R59" s="55"/>
    </row>
    <row r="60" customFormat="false" ht="15" hidden="false" customHeight="false" outlineLevel="0" collapsed="false">
      <c r="A60" s="1" t="s">
        <v>852</v>
      </c>
      <c r="B60" s="1" t="s">
        <v>853</v>
      </c>
      <c r="G60" s="6" t="s">
        <v>134</v>
      </c>
      <c r="H60" s="28" t="n">
        <f aca="false">'Obras exteriores '!D89</f>
        <v>4</v>
      </c>
      <c r="I60" s="28" t="n">
        <f aca="false">'APUS ARQUITECTURA'!J659</f>
        <v>39.51</v>
      </c>
      <c r="J60" s="9" t="n">
        <f aca="false">H60*I60</f>
        <v>158.04</v>
      </c>
      <c r="Q60" s="57"/>
      <c r="R60" s="55"/>
    </row>
    <row r="61" customFormat="false" ht="15" hidden="false" customHeight="false" outlineLevel="0" collapsed="false">
      <c r="A61" s="1" t="s">
        <v>854</v>
      </c>
      <c r="B61" s="1" t="s">
        <v>855</v>
      </c>
      <c r="G61" s="6" t="s">
        <v>134</v>
      </c>
      <c r="H61" s="28" t="n">
        <f aca="false">'Obras exteriores '!D90</f>
        <v>56</v>
      </c>
      <c r="I61" s="28" t="n">
        <f aca="false">'APUS ARQUITECTURA'!J666</f>
        <v>17.38</v>
      </c>
      <c r="J61" s="9" t="n">
        <f aca="false">H61*I61</f>
        <v>973.28</v>
      </c>
      <c r="Q61" s="57"/>
      <c r="R61" s="55"/>
    </row>
    <row r="62" customFormat="false" ht="15" hidden="false" customHeight="false" outlineLevel="0" collapsed="false">
      <c r="A62" s="14" t="s">
        <v>856</v>
      </c>
      <c r="B62" s="41" t="s">
        <v>79</v>
      </c>
      <c r="G62" s="6"/>
      <c r="H62" s="28"/>
      <c r="J62" s="43" t="n">
        <f aca="false">SUM(J63)</f>
        <v>6441.60099379656</v>
      </c>
      <c r="K62" s="111"/>
      <c r="Q62" s="57"/>
      <c r="R62" s="55"/>
    </row>
    <row r="63" customFormat="false" ht="15" hidden="false" customHeight="false" outlineLevel="0" collapsed="false">
      <c r="A63" s="1" t="s">
        <v>857</v>
      </c>
      <c r="B63" s="1" t="s">
        <v>79</v>
      </c>
      <c r="G63" s="6" t="s">
        <v>150</v>
      </c>
      <c r="H63" s="28" t="n">
        <f aca="false">'Obras exteriores '!D40</f>
        <v>3</v>
      </c>
      <c r="I63" s="28" t="n">
        <f aca="false">'APUS ARQUITECTURA'!J673</f>
        <v>2147.20033126552</v>
      </c>
      <c r="J63" s="9" t="n">
        <f aca="false">H63*I63</f>
        <v>6441.60099379656</v>
      </c>
      <c r="Q63" s="57"/>
      <c r="R63" s="55"/>
    </row>
    <row r="64" customFormat="false" ht="15" hidden="false" customHeight="false" outlineLevel="0" collapsed="false">
      <c r="A64" s="14" t="s">
        <v>858</v>
      </c>
      <c r="B64" s="41" t="s">
        <v>859</v>
      </c>
      <c r="G64" s="6"/>
      <c r="H64" s="28"/>
      <c r="J64" s="43" t="n">
        <f aca="false">SUM(J65:J66)</f>
        <v>3559.29</v>
      </c>
      <c r="K64" s="111"/>
      <c r="R64" s="55"/>
    </row>
    <row r="65" customFormat="false" ht="15" hidden="false" customHeight="false" outlineLevel="0" collapsed="false">
      <c r="A65" s="1" t="s">
        <v>860</v>
      </c>
      <c r="B65" s="1" t="s">
        <v>861</v>
      </c>
      <c r="G65" s="6" t="s">
        <v>134</v>
      </c>
      <c r="H65" s="28" t="n">
        <f aca="false">'Obras exteriores '!D22</f>
        <v>10</v>
      </c>
      <c r="I65" s="28" t="n">
        <f aca="false">'APUS ARQUITECTURA'!J705</f>
        <v>169.49</v>
      </c>
      <c r="J65" s="9" t="n">
        <f aca="false">H65*I65</f>
        <v>1694.9</v>
      </c>
    </row>
    <row r="66" customFormat="false" ht="15" hidden="false" customHeight="false" outlineLevel="0" collapsed="false">
      <c r="A66" s="1" t="s">
        <v>862</v>
      </c>
      <c r="B66" s="1" t="s">
        <v>863</v>
      </c>
      <c r="C66" s="79"/>
      <c r="G66" s="6" t="s">
        <v>134</v>
      </c>
      <c r="H66" s="28" t="n">
        <f aca="false">'Obras exteriores '!D38</f>
        <v>11</v>
      </c>
      <c r="I66" s="28" t="n">
        <f aca="false">'APUS ARQUITECTURA'!J712</f>
        <v>169.49</v>
      </c>
      <c r="J66" s="9" t="n">
        <f aca="false">H66*I66</f>
        <v>1864.39</v>
      </c>
    </row>
    <row r="67" customFormat="false" ht="15" hidden="false" customHeight="false" outlineLevel="0" collapsed="false">
      <c r="C67" s="79"/>
      <c r="G67" s="6"/>
      <c r="H67" s="28"/>
    </row>
    <row r="68" customFormat="false" ht="15" hidden="false" customHeight="false" outlineLevel="0" collapsed="false">
      <c r="C68" s="79"/>
      <c r="H68" s="28"/>
      <c r="Q68" s="57"/>
      <c r="R68" s="55"/>
    </row>
    <row r="69" customFormat="false" ht="15" hidden="false" customHeight="false" outlineLevel="0" collapsed="false">
      <c r="C69" s="79"/>
      <c r="H69" s="28"/>
      <c r="Q69" s="57"/>
      <c r="R69" s="55"/>
    </row>
    <row r="70" customFormat="false" ht="15" hidden="false" customHeight="false" outlineLevel="0" collapsed="false">
      <c r="C70" s="79"/>
      <c r="H70" s="28"/>
      <c r="Q70" s="57"/>
      <c r="R70" s="55"/>
    </row>
    <row r="71" customFormat="false" ht="15" hidden="false" customHeight="false" outlineLevel="0" collapsed="false">
      <c r="C71" s="79"/>
      <c r="H71" s="28"/>
      <c r="Q71" s="57"/>
      <c r="R71" s="55"/>
    </row>
    <row r="72" customFormat="false" ht="15" hidden="false" customHeight="false" outlineLevel="0" collapsed="false">
      <c r="B72" s="111"/>
      <c r="H72" s="28"/>
      <c r="Q72" s="57"/>
      <c r="R72" s="55"/>
    </row>
    <row r="73" customFormat="false" ht="15" hidden="false" customHeight="false" outlineLevel="0" collapsed="false">
      <c r="H73" s="28"/>
      <c r="Q73" s="57"/>
      <c r="R73" s="55"/>
    </row>
    <row r="74" customFormat="false" ht="15" hidden="false" customHeight="false" outlineLevel="0" collapsed="false">
      <c r="H74" s="28"/>
      <c r="Q74" s="57"/>
      <c r="R74" s="55"/>
    </row>
    <row r="75" customFormat="false" ht="15" hidden="false" customHeight="false" outlineLevel="0" collapsed="false">
      <c r="H75" s="28"/>
      <c r="Q75" s="57"/>
      <c r="R75" s="55"/>
    </row>
    <row r="76" customFormat="false" ht="15" hidden="false" customHeight="false" outlineLevel="0" collapsed="false">
      <c r="H76" s="28"/>
      <c r="Q76" s="57"/>
      <c r="R76" s="55"/>
    </row>
    <row r="77" customFormat="false" ht="15" hidden="false" customHeight="false" outlineLevel="0" collapsed="false">
      <c r="Q77" s="57"/>
      <c r="R77" s="55"/>
    </row>
    <row r="78" customFormat="false" ht="15" hidden="false" customHeight="false" outlineLevel="0" collapsed="false">
      <c r="B78" s="111"/>
      <c r="Q78" s="57"/>
      <c r="R78" s="55"/>
    </row>
    <row r="79" customFormat="false" ht="15" hidden="false" customHeight="false" outlineLevel="0" collapsed="false">
      <c r="Q79" s="57"/>
      <c r="R79" s="55"/>
    </row>
    <row r="80" customFormat="false" ht="15" hidden="false" customHeight="false" outlineLevel="0" collapsed="false">
      <c r="B80" s="111"/>
      <c r="R80" s="55"/>
    </row>
    <row r="86" customFormat="false" ht="15" hidden="false" customHeight="false" outlineLevel="0" collapsed="false">
      <c r="P86" s="112"/>
      <c r="Q86" s="113"/>
      <c r="R86" s="55"/>
    </row>
    <row r="87" customFormat="false" ht="15" hidden="false" customHeight="false" outlineLevel="0" collapsed="false">
      <c r="P87" s="112"/>
      <c r="Q87" s="113"/>
      <c r="R87" s="55"/>
    </row>
    <row r="88" customFormat="false" ht="15" hidden="false" customHeight="false" outlineLevel="0" collapsed="false">
      <c r="P88" s="112"/>
      <c r="Q88" s="113"/>
      <c r="R88" s="55"/>
    </row>
    <row r="89" customFormat="false" ht="15" hidden="false" customHeight="false" outlineLevel="0" collapsed="false">
      <c r="P89" s="114"/>
      <c r="Q89" s="115"/>
      <c r="R89" s="55"/>
    </row>
    <row r="90" customFormat="false" ht="15" hidden="false" customHeight="false" outlineLevel="0" collapsed="false">
      <c r="P90" s="116"/>
      <c r="Q90" s="79"/>
      <c r="R90" s="55"/>
    </row>
    <row r="91" customFormat="false" ht="15" hidden="false" customHeight="false" outlineLevel="0" collapsed="false">
      <c r="P91" s="116"/>
      <c r="Q91" s="79"/>
      <c r="R91" s="55"/>
    </row>
    <row r="92" customFormat="false" ht="15" hidden="false" customHeight="false" outlineLevel="0" collapsed="false">
      <c r="P92" s="116"/>
      <c r="Q92" s="79"/>
      <c r="R92" s="55"/>
    </row>
    <row r="93" customFormat="false" ht="15" hidden="false" customHeight="false" outlineLevel="0" collapsed="false">
      <c r="P93" s="116"/>
      <c r="Q93" s="79"/>
      <c r="R93" s="55"/>
    </row>
    <row r="94" customFormat="false" ht="15" hidden="false" customHeight="false" outlineLevel="0" collapsed="false">
      <c r="P94" s="116"/>
      <c r="Q94" s="79"/>
      <c r="R94" s="55"/>
    </row>
    <row r="95" customFormat="false" ht="15" hidden="false" customHeight="false" outlineLevel="0" collapsed="false">
      <c r="P95" s="116"/>
      <c r="Q95" s="79"/>
      <c r="R95" s="55"/>
    </row>
    <row r="96" customFormat="false" ht="15" hidden="false" customHeight="false" outlineLevel="0" collapsed="false">
      <c r="P96" s="116"/>
      <c r="Q96" s="79"/>
      <c r="R96" s="55"/>
    </row>
    <row r="99" customFormat="false" ht="15" hidden="false" customHeight="false" outlineLevel="0" collapsed="false">
      <c r="P99" s="117"/>
      <c r="R99" s="55"/>
    </row>
    <row r="100" customFormat="false" ht="15" hidden="false" customHeight="false" outlineLevel="0" collapsed="false">
      <c r="P100" s="117"/>
      <c r="R100" s="55"/>
    </row>
    <row r="101" customFormat="false" ht="15" hidden="false" customHeight="false" outlineLevel="0" collapsed="false">
      <c r="P101" s="117"/>
      <c r="R101" s="55"/>
    </row>
    <row r="102" customFormat="false" ht="15" hidden="false" customHeight="false" outlineLevel="0" collapsed="false">
      <c r="P102" s="118"/>
      <c r="R102" s="55"/>
    </row>
    <row r="103" customFormat="false" ht="15" hidden="false" customHeight="false" outlineLevel="0" collapsed="false">
      <c r="P103" s="119"/>
      <c r="R103" s="55"/>
    </row>
    <row r="104" customFormat="false" ht="15" hidden="false" customHeight="false" outlineLevel="0" collapsed="false">
      <c r="P104" s="119"/>
      <c r="R104" s="55"/>
    </row>
    <row r="105" customFormat="false" ht="15" hidden="false" customHeight="false" outlineLevel="0" collapsed="false">
      <c r="P105" s="119"/>
      <c r="R105" s="55"/>
    </row>
    <row r="106" customFormat="false" ht="15" hidden="false" customHeight="false" outlineLevel="0" collapsed="false">
      <c r="P106" s="119"/>
      <c r="R106" s="55"/>
    </row>
    <row r="107" customFormat="false" ht="15" hidden="false" customHeight="false" outlineLevel="0" collapsed="false">
      <c r="P107" s="119"/>
      <c r="R107" s="55"/>
    </row>
    <row r="108" customFormat="false" ht="15" hidden="false" customHeight="false" outlineLevel="0" collapsed="false">
      <c r="P108" s="119"/>
      <c r="R108" s="55"/>
    </row>
    <row r="114" customFormat="false" ht="15" hidden="false" customHeight="false" outlineLevel="0" collapsed="false">
      <c r="P114" s="15"/>
    </row>
    <row r="119" customFormat="false" ht="15" hidden="false" customHeight="false" outlineLevel="0" collapsed="false">
      <c r="P119" s="15"/>
    </row>
    <row r="120" customFormat="false" ht="15" hidden="false" customHeight="false" outlineLevel="0" collapsed="false">
      <c r="P120" s="120"/>
    </row>
    <row r="121" customFormat="false" ht="15" hidden="false" customHeight="false" outlineLevel="0" collapsed="false">
      <c r="P121" s="1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4:AA7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31" activeCellId="0" sqref="K3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6.86"/>
    <col collapsed="false" customWidth="true" hidden="false" outlineLevel="0" max="2" min="2" style="1" width="11.15"/>
    <col collapsed="false" customWidth="true" hidden="false" outlineLevel="0" max="9" min="9" style="1" width="9.3"/>
    <col collapsed="false" customWidth="true" hidden="false" outlineLevel="0" max="12" min="12" style="1" width="10.57"/>
    <col collapsed="false" customWidth="true" hidden="false" outlineLevel="0" max="17" min="16" style="1" width="10.86"/>
    <col collapsed="false" customWidth="true" hidden="false" outlineLevel="0" max="19" min="19" style="1" width="17.57"/>
  </cols>
  <sheetData>
    <row r="4" customFormat="false" ht="15" hidden="false" customHeight="false" outlineLevel="0" collapsed="false">
      <c r="A4" s="82" t="s">
        <v>278</v>
      </c>
      <c r="B4" s="82" t="str">
        <f aca="false">ARQUITECTURA!A4</f>
        <v>03.01.01</v>
      </c>
      <c r="C4" s="82" t="s">
        <v>757</v>
      </c>
      <c r="D4" s="82"/>
      <c r="R4" s="82" t="s">
        <v>278</v>
      </c>
      <c r="S4" s="121" t="n">
        <f aca="false">A22</f>
        <v>100000000010</v>
      </c>
      <c r="T4" s="82" t="s">
        <v>864</v>
      </c>
      <c r="U4" s="82"/>
    </row>
    <row r="5" customFormat="false" ht="15" hidden="false" customHeight="false" outlineLevel="0" collapsed="false">
      <c r="A5" s="82" t="s">
        <v>279</v>
      </c>
      <c r="B5" s="82" t="s">
        <v>280</v>
      </c>
      <c r="C5" s="84" t="s">
        <v>281</v>
      </c>
      <c r="D5" s="85" t="n">
        <v>16</v>
      </c>
      <c r="E5" s="84" t="s">
        <v>282</v>
      </c>
      <c r="F5" s="85" t="n">
        <f aca="false">D5</f>
        <v>16</v>
      </c>
      <c r="G5" s="82" t="s">
        <v>283</v>
      </c>
      <c r="I5" s="84" t="s">
        <v>134</v>
      </c>
      <c r="J5" s="86" t="n">
        <f aca="false">J10+J16+J20+J29</f>
        <v>135.824337926792</v>
      </c>
      <c r="R5" s="82" t="s">
        <v>279</v>
      </c>
      <c r="S5" s="82" t="s">
        <v>417</v>
      </c>
      <c r="T5" s="84" t="s">
        <v>281</v>
      </c>
      <c r="U5" s="85" t="n">
        <v>10</v>
      </c>
      <c r="V5" s="84" t="s">
        <v>282</v>
      </c>
      <c r="W5" s="85" t="n">
        <f aca="false">U5</f>
        <v>10</v>
      </c>
      <c r="X5" s="82" t="s">
        <v>283</v>
      </c>
      <c r="Z5" s="84" t="s">
        <v>204</v>
      </c>
      <c r="AA5" s="86" t="n">
        <f aca="false">AA11+AA18+AA23</f>
        <v>493.42718</v>
      </c>
    </row>
    <row r="6" customFormat="false" ht="15" hidden="false" customHeight="false" outlineLevel="0" collapsed="false">
      <c r="A6" s="82" t="s">
        <v>284</v>
      </c>
      <c r="B6" s="82" t="s">
        <v>285</v>
      </c>
      <c r="F6" s="84" t="s">
        <v>123</v>
      </c>
      <c r="G6" s="84" t="s">
        <v>286</v>
      </c>
      <c r="H6" s="84" t="s">
        <v>287</v>
      </c>
      <c r="I6" s="84" t="s">
        <v>288</v>
      </c>
      <c r="J6" s="84" t="s">
        <v>289</v>
      </c>
      <c r="R6" s="82" t="s">
        <v>284</v>
      </c>
      <c r="S6" s="82" t="s">
        <v>285</v>
      </c>
      <c r="W6" s="84" t="s">
        <v>123</v>
      </c>
      <c r="X6" s="84" t="s">
        <v>286</v>
      </c>
      <c r="Y6" s="84" t="s">
        <v>287</v>
      </c>
      <c r="Z6" s="84" t="s">
        <v>288</v>
      </c>
      <c r="AA6" s="84" t="s">
        <v>289</v>
      </c>
    </row>
    <row r="7" customFormat="false" ht="15" hidden="false" customHeight="false" outlineLevel="0" collapsed="false">
      <c r="B7" s="87" t="s">
        <v>290</v>
      </c>
      <c r="S7" s="87" t="s">
        <v>290</v>
      </c>
    </row>
    <row r="8" customFormat="false" ht="15" hidden="false" customHeight="true" outlineLevel="0" collapsed="false">
      <c r="B8" s="1" t="s">
        <v>291</v>
      </c>
      <c r="F8" s="55" t="s">
        <v>292</v>
      </c>
      <c r="G8" s="56" t="n">
        <v>2</v>
      </c>
      <c r="H8" s="57" t="n">
        <f aca="false">G8*8/$D$5</f>
        <v>1</v>
      </c>
      <c r="I8" s="28" t="n">
        <v>34.73</v>
      </c>
      <c r="J8" s="28" t="n">
        <f aca="false">H8*I8</f>
        <v>34.73</v>
      </c>
      <c r="S8" s="1" t="s">
        <v>291</v>
      </c>
      <c r="W8" s="55" t="s">
        <v>292</v>
      </c>
      <c r="X8" s="56" t="n">
        <v>2</v>
      </c>
      <c r="Y8" s="57" t="n">
        <f aca="false">X8*8/$U$5</f>
        <v>1.6</v>
      </c>
      <c r="Z8" s="28" t="n">
        <v>28.94</v>
      </c>
      <c r="AA8" s="28" t="n">
        <f aca="false">Y8*Z8</f>
        <v>46.304</v>
      </c>
    </row>
    <row r="9" customFormat="false" ht="15" hidden="false" customHeight="false" outlineLevel="0" collapsed="false">
      <c r="B9" s="1" t="s">
        <v>294</v>
      </c>
      <c r="F9" s="55" t="s">
        <v>292</v>
      </c>
      <c r="G9" s="56" t="n">
        <v>1</v>
      </c>
      <c r="H9" s="57" t="n">
        <f aca="false">G9*8/$D$5</f>
        <v>0.5</v>
      </c>
      <c r="I9" s="28" t="n">
        <v>20.51</v>
      </c>
      <c r="J9" s="28" t="n">
        <f aca="false">H9*I9</f>
        <v>10.255</v>
      </c>
      <c r="S9" s="1" t="s">
        <v>293</v>
      </c>
      <c r="W9" s="55" t="s">
        <v>292</v>
      </c>
      <c r="X9" s="56" t="n">
        <v>1</v>
      </c>
      <c r="Y9" s="57" t="n">
        <f aca="false">X9*8/$U$5</f>
        <v>0.8</v>
      </c>
      <c r="Z9" s="28" t="n">
        <v>22.66</v>
      </c>
      <c r="AA9" s="28" t="n">
        <f aca="false">Y9*Z9</f>
        <v>18.128</v>
      </c>
    </row>
    <row r="10" customFormat="false" ht="15" hidden="false" customHeight="false" outlineLevel="0" collapsed="false">
      <c r="F10" s="55"/>
      <c r="G10" s="56"/>
      <c r="H10" s="57"/>
      <c r="I10" s="28"/>
      <c r="J10" s="86" t="n">
        <f aca="false">SUM(J8:J9)</f>
        <v>44.985</v>
      </c>
      <c r="S10" s="1" t="s">
        <v>294</v>
      </c>
      <c r="W10" s="55" t="s">
        <v>292</v>
      </c>
      <c r="X10" s="56" t="n">
        <v>8</v>
      </c>
      <c r="Y10" s="57" t="n">
        <f aca="false">X10*8/$U$5</f>
        <v>6.4</v>
      </c>
      <c r="Z10" s="28" t="n">
        <v>20.51</v>
      </c>
      <c r="AA10" s="28" t="n">
        <f aca="false">Y10*Z10</f>
        <v>131.264</v>
      </c>
    </row>
    <row r="11" customFormat="false" ht="15" hidden="false" customHeight="false" outlineLevel="0" collapsed="false">
      <c r="B11" s="87" t="s">
        <v>654</v>
      </c>
      <c r="F11" s="55"/>
      <c r="G11" s="56"/>
      <c r="H11" s="57"/>
      <c r="J11" s="28"/>
      <c r="W11" s="55"/>
      <c r="X11" s="56"/>
      <c r="Y11" s="57"/>
      <c r="AA11" s="86" t="n">
        <f aca="false">SUM(AA8:AA10)</f>
        <v>195.696</v>
      </c>
    </row>
    <row r="12" customFormat="false" ht="15" hidden="false" customHeight="false" outlineLevel="0" collapsed="false">
      <c r="B12" s="1" t="s">
        <v>656</v>
      </c>
      <c r="F12" s="55" t="s">
        <v>204</v>
      </c>
      <c r="H12" s="57" t="n">
        <v>0.0068</v>
      </c>
      <c r="I12" s="1" t="n">
        <v>6.14</v>
      </c>
      <c r="J12" s="28" t="n">
        <f aca="false">H12*I12</f>
        <v>0.041752</v>
      </c>
      <c r="S12" s="87" t="s">
        <v>654</v>
      </c>
      <c r="W12" s="55"/>
      <c r="X12" s="56"/>
      <c r="Y12" s="57"/>
      <c r="AA12" s="28"/>
    </row>
    <row r="13" customFormat="false" ht="15" hidden="false" customHeight="true" outlineLevel="0" collapsed="false">
      <c r="B13" s="1" t="s">
        <v>674</v>
      </c>
      <c r="F13" s="55" t="s">
        <v>204</v>
      </c>
      <c r="H13" s="57" t="n">
        <v>0.0269</v>
      </c>
      <c r="I13" s="28" t="n">
        <v>47</v>
      </c>
      <c r="J13" s="28" t="n">
        <f aca="false">H13*I13</f>
        <v>1.2643</v>
      </c>
      <c r="S13" s="1" t="s">
        <v>673</v>
      </c>
      <c r="W13" s="55" t="s">
        <v>204</v>
      </c>
      <c r="Y13" s="57" t="n">
        <v>0.55</v>
      </c>
      <c r="Z13" s="28" t="n">
        <v>55.08</v>
      </c>
      <c r="AA13" s="28" t="n">
        <f aca="false">Y13*Z13</f>
        <v>30.294</v>
      </c>
    </row>
    <row r="14" customFormat="false" ht="15" hidden="false" customHeight="false" outlineLevel="0" collapsed="false">
      <c r="B14" s="1" t="s">
        <v>307</v>
      </c>
      <c r="F14" s="55" t="s">
        <v>308</v>
      </c>
      <c r="H14" s="1" t="n">
        <v>0.2211</v>
      </c>
      <c r="I14" s="28" t="n">
        <v>24.52</v>
      </c>
      <c r="J14" s="28" t="n">
        <f aca="false">H14*I14</f>
        <v>5.421372</v>
      </c>
      <c r="S14" s="1" t="s">
        <v>674</v>
      </c>
      <c r="W14" s="55" t="s">
        <v>204</v>
      </c>
      <c r="Y14" s="57" t="n">
        <v>0.54</v>
      </c>
      <c r="Z14" s="28" t="n">
        <v>47</v>
      </c>
      <c r="AA14" s="28" t="n">
        <f aca="false">Y14*Z14</f>
        <v>25.38</v>
      </c>
    </row>
    <row r="15" customFormat="false" ht="15" hidden="false" customHeight="false" outlineLevel="0" collapsed="false">
      <c r="B15" s="1" t="s">
        <v>865</v>
      </c>
      <c r="F15" s="55" t="s">
        <v>150</v>
      </c>
      <c r="H15" s="28" t="n">
        <v>39</v>
      </c>
      <c r="I15" s="1" t="n">
        <v>1.02</v>
      </c>
      <c r="J15" s="28" t="n">
        <f aca="false">H15*I15</f>
        <v>39.78</v>
      </c>
      <c r="S15" s="1" t="s">
        <v>307</v>
      </c>
      <c r="W15" s="55" t="s">
        <v>308</v>
      </c>
      <c r="Y15" s="57" t="n">
        <v>8.43</v>
      </c>
      <c r="Z15" s="28" t="n">
        <v>24.52</v>
      </c>
      <c r="AA15" s="28" t="n">
        <f aca="false">Y15*Z15</f>
        <v>206.7036</v>
      </c>
    </row>
    <row r="16" customFormat="false" ht="15" hidden="false" customHeight="true" outlineLevel="0" collapsed="false">
      <c r="F16" s="55"/>
      <c r="H16" s="57"/>
      <c r="I16" s="28"/>
      <c r="J16" s="86" t="n">
        <f aca="false">SUM(J12:J15)</f>
        <v>46.507424</v>
      </c>
      <c r="S16" s="1" t="s">
        <v>656</v>
      </c>
      <c r="W16" s="55" t="s">
        <v>204</v>
      </c>
      <c r="Y16" s="57" t="n">
        <v>0.185</v>
      </c>
      <c r="Z16" s="1" t="n">
        <v>6.14</v>
      </c>
      <c r="AA16" s="28" t="n">
        <f aca="false">Y16*Z16</f>
        <v>1.1359</v>
      </c>
    </row>
    <row r="17" customFormat="false" ht="15" hidden="false" customHeight="false" outlineLevel="0" collapsed="false">
      <c r="B17" s="87" t="s">
        <v>310</v>
      </c>
      <c r="S17" s="1" t="s">
        <v>666</v>
      </c>
      <c r="W17" s="55" t="s">
        <v>440</v>
      </c>
      <c r="Y17" s="57" t="n">
        <v>0.36</v>
      </c>
      <c r="Z17" s="1" t="n">
        <v>13.93</v>
      </c>
      <c r="AA17" s="28" t="n">
        <f aca="false">Y17*Z17</f>
        <v>5.0148</v>
      </c>
    </row>
    <row r="18" customFormat="false" ht="15" hidden="false" customHeight="true" outlineLevel="0" collapsed="false">
      <c r="B18" s="1" t="s">
        <v>311</v>
      </c>
      <c r="F18" s="55" t="s">
        <v>312</v>
      </c>
      <c r="H18" s="57" t="n">
        <v>3</v>
      </c>
      <c r="I18" s="28" t="n">
        <f aca="false">J10</f>
        <v>44.985</v>
      </c>
      <c r="J18" s="28" t="n">
        <f aca="false">H18%*I18</f>
        <v>1.34955</v>
      </c>
      <c r="W18" s="55"/>
      <c r="Y18" s="57"/>
      <c r="Z18" s="28"/>
      <c r="AA18" s="86" t="n">
        <f aca="false">SUM(AA13:AA17)</f>
        <v>268.5283</v>
      </c>
    </row>
    <row r="19" customFormat="false" ht="15" hidden="false" customHeight="true" outlineLevel="0" collapsed="false">
      <c r="B19" s="1" t="s">
        <v>866</v>
      </c>
      <c r="F19" s="55" t="s">
        <v>867</v>
      </c>
      <c r="G19" s="56" t="n">
        <v>2</v>
      </c>
      <c r="H19" s="57" t="n">
        <f aca="false">G19*8/$D$5</f>
        <v>1</v>
      </c>
      <c r="I19" s="1" t="n">
        <v>10.34</v>
      </c>
      <c r="J19" s="28" t="n">
        <f aca="false">H19%*I19</f>
        <v>0.1034</v>
      </c>
      <c r="S19" s="87" t="s">
        <v>310</v>
      </c>
    </row>
    <row r="20" customFormat="false" ht="15" hidden="false" customHeight="true" outlineLevel="0" collapsed="false">
      <c r="J20" s="86" t="n">
        <f aca="false">SUM(J18:J19)</f>
        <v>1.45295</v>
      </c>
      <c r="S20" s="1" t="s">
        <v>311</v>
      </c>
      <c r="W20" s="55" t="s">
        <v>312</v>
      </c>
      <c r="Y20" s="57" t="n">
        <v>3</v>
      </c>
      <c r="Z20" s="28" t="n">
        <f aca="false">AA11</f>
        <v>195.696</v>
      </c>
      <c r="AA20" s="28" t="n">
        <f aca="false">Y20%*Z20</f>
        <v>5.87088</v>
      </c>
    </row>
    <row r="21" customFormat="false" ht="15" hidden="false" customHeight="true" outlineLevel="0" collapsed="false">
      <c r="B21" s="87" t="s">
        <v>737</v>
      </c>
      <c r="J21" s="86"/>
      <c r="S21" s="1" t="s">
        <v>668</v>
      </c>
      <c r="W21" s="55" t="s">
        <v>338</v>
      </c>
      <c r="X21" s="56" t="n">
        <v>1</v>
      </c>
      <c r="Y21" s="57" t="n">
        <f aca="false">X21*8/$U$5</f>
        <v>0.8</v>
      </c>
      <c r="Z21" s="28" t="n">
        <v>25.63</v>
      </c>
      <c r="AA21" s="28" t="n">
        <f aca="false">Y21*Z21</f>
        <v>20.504</v>
      </c>
    </row>
    <row r="22" customFormat="false" ht="15" hidden="false" customHeight="true" outlineLevel="0" collapsed="false">
      <c r="A22" s="104" t="n">
        <v>100000000010</v>
      </c>
      <c r="B22" s="1" t="s">
        <v>868</v>
      </c>
      <c r="F22" s="55" t="s">
        <v>204</v>
      </c>
      <c r="H22" s="28" t="n">
        <v>0.0110054094385376</v>
      </c>
      <c r="I22" s="28" t="n">
        <f aca="false">AA5</f>
        <v>493.42718</v>
      </c>
      <c r="J22" s="28" t="n">
        <f aca="false">H22*I22</f>
        <v>5.43036814400298</v>
      </c>
      <c r="S22" s="1" t="s">
        <v>676</v>
      </c>
      <c r="W22" s="55" t="s">
        <v>338</v>
      </c>
      <c r="X22" s="56" t="n">
        <v>0.5</v>
      </c>
      <c r="Y22" s="57" t="n">
        <f aca="false">X22*8/$U$5</f>
        <v>0.4</v>
      </c>
      <c r="Z22" s="28" t="n">
        <v>7.07</v>
      </c>
      <c r="AA22" s="28" t="n">
        <f aca="false">Y22*Z22</f>
        <v>2.828</v>
      </c>
    </row>
    <row r="23" customFormat="false" ht="15" hidden="false" customHeight="true" outlineLevel="0" collapsed="false">
      <c r="A23" s="104" t="n">
        <v>100000000011</v>
      </c>
      <c r="B23" s="1" t="s">
        <v>869</v>
      </c>
      <c r="F23" s="55" t="s">
        <v>134</v>
      </c>
      <c r="H23" s="28" t="n">
        <v>0.106945221662625</v>
      </c>
      <c r="I23" s="28" t="n">
        <f aca="false">AA26</f>
        <v>56.1611666666667</v>
      </c>
      <c r="J23" s="28" t="n">
        <f aca="false">H23*I23</f>
        <v>6.0061684179983</v>
      </c>
      <c r="R23" s="60"/>
      <c r="S23" s="60"/>
      <c r="T23" s="60"/>
      <c r="U23" s="60"/>
      <c r="V23" s="60"/>
      <c r="W23" s="60"/>
      <c r="X23" s="60"/>
      <c r="Y23" s="60"/>
      <c r="Z23" s="60"/>
      <c r="AA23" s="89" t="n">
        <f aca="false">SUM(AA20:AA22)</f>
        <v>29.20288</v>
      </c>
    </row>
    <row r="24" customFormat="false" ht="15" hidden="false" customHeight="true" outlineLevel="0" collapsed="false">
      <c r="A24" s="104" t="n">
        <v>100000000012</v>
      </c>
      <c r="B24" s="1" t="s">
        <v>870</v>
      </c>
      <c r="F24" s="55" t="s">
        <v>297</v>
      </c>
      <c r="H24" s="28" t="n">
        <v>0.933097059006404</v>
      </c>
      <c r="I24" s="28" t="n">
        <f aca="false">AA42</f>
        <v>5.5329804445</v>
      </c>
      <c r="J24" s="28" t="n">
        <f aca="false">H24*I24</f>
        <v>5.1628077803029</v>
      </c>
    </row>
    <row r="25" customFormat="false" ht="15" hidden="false" customHeight="true" outlineLevel="0" collapsed="false">
      <c r="A25" s="104" t="n">
        <v>100000000013</v>
      </c>
      <c r="B25" s="1" t="s">
        <v>871</v>
      </c>
      <c r="F25" s="55" t="s">
        <v>204</v>
      </c>
      <c r="H25" s="28" t="n">
        <v>0.00580815146427905</v>
      </c>
      <c r="I25" s="28" t="n">
        <f aca="false">AA58</f>
        <v>377.33894</v>
      </c>
      <c r="J25" s="28" t="n">
        <f aca="false">H25*I25</f>
        <v>2.19164171689051</v>
      </c>
      <c r="R25" s="82" t="s">
        <v>278</v>
      </c>
      <c r="S25" s="121" t="n">
        <f aca="false">A23</f>
        <v>100000000011</v>
      </c>
      <c r="T25" s="82" t="s">
        <v>872</v>
      </c>
      <c r="U25" s="82"/>
    </row>
    <row r="26" customFormat="false" ht="15" hidden="false" customHeight="true" outlineLevel="0" collapsed="false">
      <c r="A26" s="104" t="n">
        <v>100000000014</v>
      </c>
      <c r="B26" s="1" t="s">
        <v>873</v>
      </c>
      <c r="F26" s="55" t="s">
        <v>134</v>
      </c>
      <c r="H26" s="28" t="n">
        <v>0.0774420195237207</v>
      </c>
      <c r="I26" s="28" t="n">
        <f aca="false">AA79</f>
        <v>71.15862</v>
      </c>
      <c r="J26" s="28" t="n">
        <f aca="false">H26*I26</f>
        <v>5.51066723932102</v>
      </c>
      <c r="R26" s="82" t="s">
        <v>279</v>
      </c>
      <c r="S26" s="82" t="s">
        <v>280</v>
      </c>
      <c r="T26" s="84" t="s">
        <v>281</v>
      </c>
      <c r="U26" s="85" t="n">
        <v>12</v>
      </c>
      <c r="V26" s="84" t="s">
        <v>282</v>
      </c>
      <c r="W26" s="85" t="n">
        <f aca="false">U26</f>
        <v>12</v>
      </c>
      <c r="X26" s="82" t="s">
        <v>283</v>
      </c>
      <c r="Z26" s="84" t="s">
        <v>134</v>
      </c>
      <c r="AA26" s="86" t="n">
        <f aca="false">AA31+AA36+AA39</f>
        <v>56.1611666666667</v>
      </c>
    </row>
    <row r="27" customFormat="false" ht="15" hidden="false" customHeight="true" outlineLevel="0" collapsed="false">
      <c r="A27" s="104" t="n">
        <v>100000000015</v>
      </c>
      <c r="B27" s="1" t="s">
        <v>874</v>
      </c>
      <c r="F27" s="55" t="s">
        <v>297</v>
      </c>
      <c r="H27" s="28" t="n">
        <v>0.900908827125951</v>
      </c>
      <c r="I27" s="28" t="n">
        <f aca="false">AA96</f>
        <v>5.4621164445</v>
      </c>
      <c r="J27" s="28" t="n">
        <f aca="false">H27*I27</f>
        <v>4.92086891963986</v>
      </c>
      <c r="R27" s="82" t="s">
        <v>284</v>
      </c>
      <c r="S27" s="82" t="s">
        <v>285</v>
      </c>
      <c r="W27" s="84" t="s">
        <v>123</v>
      </c>
      <c r="X27" s="84" t="s">
        <v>286</v>
      </c>
      <c r="Y27" s="84" t="s">
        <v>287</v>
      </c>
      <c r="Z27" s="84" t="s">
        <v>288</v>
      </c>
      <c r="AA27" s="84" t="s">
        <v>289</v>
      </c>
    </row>
    <row r="28" customFormat="false" ht="15" hidden="false" customHeight="true" outlineLevel="0" collapsed="false">
      <c r="A28" s="104" t="n">
        <v>100000000016</v>
      </c>
      <c r="B28" s="1" t="s">
        <v>875</v>
      </c>
      <c r="F28" s="55" t="s">
        <v>145</v>
      </c>
      <c r="H28" s="28" t="n">
        <v>0.248709817820058</v>
      </c>
      <c r="I28" s="28" t="n">
        <f aca="false">AA112</f>
        <v>54.909138</v>
      </c>
      <c r="J28" s="28" t="n">
        <f aca="false">H28*I28</f>
        <v>13.6564417086364</v>
      </c>
      <c r="N28" s="122"/>
      <c r="O28" s="122"/>
      <c r="P28" s="122"/>
      <c r="Q28" s="122"/>
      <c r="S28" s="87" t="s">
        <v>290</v>
      </c>
    </row>
    <row r="29" customFormat="false" ht="15" hidden="false" customHeight="true" outlineLevel="0" collapsed="false">
      <c r="A29" s="60"/>
      <c r="B29" s="123"/>
      <c r="C29" s="123"/>
      <c r="D29" s="123"/>
      <c r="E29" s="123"/>
      <c r="F29" s="123"/>
      <c r="G29" s="123"/>
      <c r="H29" s="123"/>
      <c r="I29" s="60"/>
      <c r="J29" s="89" t="n">
        <f aca="false">SUM(J22:J28)</f>
        <v>42.878963926792</v>
      </c>
      <c r="N29" s="122"/>
      <c r="O29" s="122"/>
      <c r="P29" s="122"/>
      <c r="Q29" s="122"/>
      <c r="S29" s="1" t="s">
        <v>291</v>
      </c>
      <c r="W29" s="55" t="s">
        <v>292</v>
      </c>
      <c r="X29" s="56" t="n">
        <v>1</v>
      </c>
      <c r="Y29" s="57" t="n">
        <f aca="false">X29*8/$U$26</f>
        <v>0.666666666666667</v>
      </c>
      <c r="Z29" s="28" t="n">
        <v>28.94</v>
      </c>
      <c r="AA29" s="28" t="n">
        <f aca="false">Y29*Z29</f>
        <v>19.2933333333333</v>
      </c>
    </row>
    <row r="30" customFormat="false" ht="15" hidden="false" customHeight="false" outlineLevel="0" collapsed="false">
      <c r="O30" s="122"/>
      <c r="P30" s="122"/>
      <c r="Q30" s="122"/>
      <c r="S30" s="1" t="s">
        <v>294</v>
      </c>
      <c r="W30" s="55" t="s">
        <v>292</v>
      </c>
      <c r="X30" s="56" t="n">
        <v>1</v>
      </c>
      <c r="Y30" s="57" t="n">
        <f aca="false">X30*8/$U$26</f>
        <v>0.666666666666667</v>
      </c>
      <c r="Z30" s="1" t="n">
        <v>20.51</v>
      </c>
      <c r="AA30" s="28" t="n">
        <f aca="false">Y30*Z30</f>
        <v>13.6733333333333</v>
      </c>
    </row>
    <row r="31" customFormat="false" ht="15" hidden="false" customHeight="true" outlineLevel="0" collapsed="false">
      <c r="A31" s="82" t="s">
        <v>278</v>
      </c>
      <c r="B31" s="82" t="str">
        <f aca="false">ARQUITECTURA!A5</f>
        <v>03.01.02</v>
      </c>
      <c r="C31" s="82" t="s">
        <v>759</v>
      </c>
      <c r="D31" s="82"/>
      <c r="O31" s="122"/>
      <c r="P31" s="122"/>
      <c r="Q31" s="122"/>
      <c r="W31" s="55"/>
      <c r="X31" s="56"/>
      <c r="Y31" s="57"/>
      <c r="AA31" s="86" t="n">
        <f aca="false">SUM(AA29:AA30)</f>
        <v>32.9666666666667</v>
      </c>
    </row>
    <row r="32" customFormat="false" ht="15" hidden="false" customHeight="false" outlineLevel="0" collapsed="false">
      <c r="A32" s="82" t="s">
        <v>279</v>
      </c>
      <c r="B32" s="82" t="s">
        <v>280</v>
      </c>
      <c r="C32" s="84" t="s">
        <v>281</v>
      </c>
      <c r="D32" s="85" t="n">
        <v>10</v>
      </c>
      <c r="E32" s="84" t="s">
        <v>282</v>
      </c>
      <c r="F32" s="85" t="n">
        <f aca="false">D32</f>
        <v>10</v>
      </c>
      <c r="G32" s="82" t="s">
        <v>283</v>
      </c>
      <c r="I32" s="84" t="s">
        <v>134</v>
      </c>
      <c r="J32" s="86" t="n">
        <f aca="false">J37+J43+J47</f>
        <v>150.0657</v>
      </c>
      <c r="O32" s="122"/>
      <c r="P32" s="122"/>
      <c r="Q32" s="122"/>
      <c r="S32" s="87" t="s">
        <v>654</v>
      </c>
      <c r="W32" s="55"/>
      <c r="X32" s="56"/>
      <c r="Y32" s="57"/>
      <c r="AA32" s="28"/>
    </row>
    <row r="33" customFormat="false" ht="15" hidden="false" customHeight="true" outlineLevel="0" collapsed="false">
      <c r="A33" s="82" t="s">
        <v>284</v>
      </c>
      <c r="B33" s="82" t="s">
        <v>285</v>
      </c>
      <c r="F33" s="84" t="s">
        <v>123</v>
      </c>
      <c r="G33" s="84" t="s">
        <v>286</v>
      </c>
      <c r="H33" s="84" t="s">
        <v>287</v>
      </c>
      <c r="I33" s="84" t="s">
        <v>288</v>
      </c>
      <c r="J33" s="84" t="s">
        <v>289</v>
      </c>
      <c r="O33" s="122"/>
      <c r="P33" s="122"/>
      <c r="Q33" s="122"/>
      <c r="S33" s="1" t="s">
        <v>689</v>
      </c>
      <c r="W33" s="55" t="s">
        <v>297</v>
      </c>
      <c r="Y33" s="57" t="n">
        <v>0.2</v>
      </c>
      <c r="Z33" s="28" t="n">
        <v>2.64</v>
      </c>
      <c r="AA33" s="28" t="n">
        <f aca="false">Y33*Z33</f>
        <v>0.528</v>
      </c>
    </row>
    <row r="34" customFormat="false" ht="15" hidden="false" customHeight="false" outlineLevel="0" collapsed="false">
      <c r="B34" s="87" t="s">
        <v>290</v>
      </c>
      <c r="S34" s="1" t="s">
        <v>302</v>
      </c>
      <c r="W34" s="55" t="s">
        <v>297</v>
      </c>
      <c r="Y34" s="57" t="n">
        <v>0.25</v>
      </c>
      <c r="Z34" s="28" t="n">
        <v>5.51</v>
      </c>
      <c r="AA34" s="28" t="n">
        <f aca="false">Y34*Z34</f>
        <v>1.3775</v>
      </c>
    </row>
    <row r="35" customFormat="false" ht="15" hidden="false" customHeight="true" outlineLevel="0" collapsed="false">
      <c r="B35" s="1" t="s">
        <v>291</v>
      </c>
      <c r="F35" s="55" t="s">
        <v>292</v>
      </c>
      <c r="G35" s="56" t="n">
        <v>2</v>
      </c>
      <c r="H35" s="57" t="n">
        <f aca="false">G35*8/$D$32</f>
        <v>1.6</v>
      </c>
      <c r="I35" s="28" t="n">
        <v>28.94</v>
      </c>
      <c r="J35" s="28" t="n">
        <f aca="false">H35*I35</f>
        <v>46.304</v>
      </c>
      <c r="S35" s="1" t="s">
        <v>670</v>
      </c>
      <c r="W35" s="55" t="s">
        <v>306</v>
      </c>
      <c r="Y35" s="57" t="n">
        <v>3.5</v>
      </c>
      <c r="Z35" s="28" t="n">
        <v>5.8</v>
      </c>
      <c r="AA35" s="28" t="n">
        <f aca="false">Y35*Z35</f>
        <v>20.3</v>
      </c>
    </row>
    <row r="36" customFormat="false" ht="15" hidden="false" customHeight="false" outlineLevel="0" collapsed="false">
      <c r="B36" s="1" t="s">
        <v>294</v>
      </c>
      <c r="F36" s="55" t="s">
        <v>292</v>
      </c>
      <c r="G36" s="56" t="n">
        <v>1</v>
      </c>
      <c r="H36" s="57" t="n">
        <f aca="false">G36*8/$D$32</f>
        <v>0.8</v>
      </c>
      <c r="I36" s="28" t="n">
        <v>20.51</v>
      </c>
      <c r="J36" s="28" t="n">
        <f aca="false">H36*I36</f>
        <v>16.408</v>
      </c>
      <c r="W36" s="55"/>
      <c r="Y36" s="57"/>
      <c r="Z36" s="28"/>
      <c r="AA36" s="86" t="n">
        <f aca="false">SUM(AA33:AA35)</f>
        <v>22.2055</v>
      </c>
    </row>
    <row r="37" customFormat="false" ht="15" hidden="false" customHeight="false" outlineLevel="0" collapsed="false">
      <c r="F37" s="55"/>
      <c r="G37" s="56"/>
      <c r="H37" s="57"/>
      <c r="I37" s="28"/>
      <c r="J37" s="86" t="n">
        <f aca="false">SUM(J35:J36)</f>
        <v>62.712</v>
      </c>
      <c r="S37" s="87" t="s">
        <v>310</v>
      </c>
    </row>
    <row r="38" customFormat="false" ht="15" hidden="false" customHeight="true" outlineLevel="0" collapsed="false">
      <c r="B38" s="87" t="s">
        <v>654</v>
      </c>
      <c r="F38" s="55"/>
      <c r="G38" s="56"/>
      <c r="H38" s="57"/>
      <c r="J38" s="28"/>
      <c r="S38" s="1" t="s">
        <v>311</v>
      </c>
      <c r="W38" s="55" t="s">
        <v>312</v>
      </c>
      <c r="Y38" s="57" t="n">
        <v>3</v>
      </c>
      <c r="Z38" s="28" t="n">
        <f aca="false">AA31</f>
        <v>32.9666666666667</v>
      </c>
      <c r="AA38" s="28" t="n">
        <f aca="false">Y38%*Z38</f>
        <v>0.989</v>
      </c>
    </row>
    <row r="39" customFormat="false" ht="15" hidden="false" customHeight="true" outlineLevel="0" collapsed="false">
      <c r="B39" s="1" t="s">
        <v>656</v>
      </c>
      <c r="F39" s="55" t="s">
        <v>204</v>
      </c>
      <c r="H39" s="57" t="n">
        <v>0.015</v>
      </c>
      <c r="I39" s="1" t="n">
        <v>6.14</v>
      </c>
      <c r="J39" s="28" t="n">
        <f aca="false">H39*I39</f>
        <v>0.0921</v>
      </c>
      <c r="R39" s="60"/>
      <c r="S39" s="60"/>
      <c r="T39" s="60"/>
      <c r="U39" s="60"/>
      <c r="V39" s="60"/>
      <c r="W39" s="60"/>
      <c r="X39" s="60"/>
      <c r="Y39" s="60"/>
      <c r="Z39" s="60"/>
      <c r="AA39" s="89" t="n">
        <f aca="false">SUM(AA38)</f>
        <v>0.989</v>
      </c>
    </row>
    <row r="40" customFormat="false" ht="15" hidden="false" customHeight="false" outlineLevel="0" collapsed="false">
      <c r="B40" s="1" t="s">
        <v>674</v>
      </c>
      <c r="F40" s="55" t="s">
        <v>204</v>
      </c>
      <c r="H40" s="57" t="n">
        <v>0.06</v>
      </c>
      <c r="I40" s="28" t="n">
        <v>47</v>
      </c>
      <c r="J40" s="28" t="n">
        <f aca="false">H40*I40</f>
        <v>2.82</v>
      </c>
    </row>
    <row r="41" customFormat="false" ht="15" hidden="false" customHeight="false" outlineLevel="0" collapsed="false">
      <c r="B41" s="1" t="s">
        <v>307</v>
      </c>
      <c r="F41" s="55" t="s">
        <v>308</v>
      </c>
      <c r="H41" s="1" t="n">
        <v>0.49</v>
      </c>
      <c r="I41" s="28" t="n">
        <v>24.52</v>
      </c>
      <c r="J41" s="28" t="n">
        <f aca="false">H41*I41</f>
        <v>12.0148</v>
      </c>
      <c r="R41" s="82" t="s">
        <v>278</v>
      </c>
      <c r="S41" s="121" t="n">
        <f aca="false">A24</f>
        <v>100000000012</v>
      </c>
      <c r="T41" s="82" t="s">
        <v>876</v>
      </c>
      <c r="U41" s="82"/>
    </row>
    <row r="42" customFormat="false" ht="15" hidden="false" customHeight="false" outlineLevel="0" collapsed="false">
      <c r="B42" s="1" t="s">
        <v>865</v>
      </c>
      <c r="F42" s="55" t="s">
        <v>150</v>
      </c>
      <c r="H42" s="28" t="n">
        <v>69</v>
      </c>
      <c r="I42" s="1" t="n">
        <v>1.02</v>
      </c>
      <c r="J42" s="28" t="n">
        <f aca="false">H42*I42</f>
        <v>70.38</v>
      </c>
      <c r="R42" s="82" t="s">
        <v>279</v>
      </c>
      <c r="S42" s="82" t="s">
        <v>280</v>
      </c>
      <c r="T42" s="84" t="s">
        <v>281</v>
      </c>
      <c r="U42" s="85" t="n">
        <v>250</v>
      </c>
      <c r="V42" s="84" t="s">
        <v>282</v>
      </c>
      <c r="W42" s="85" t="n">
        <f aca="false">U42</f>
        <v>250</v>
      </c>
      <c r="X42" s="82" t="s">
        <v>283</v>
      </c>
      <c r="Z42" s="84" t="s">
        <v>134</v>
      </c>
      <c r="AA42" s="86" t="n">
        <f aca="false">AA47+AA51+AA55</f>
        <v>5.5329804445</v>
      </c>
    </row>
    <row r="43" customFormat="false" ht="15" hidden="false" customHeight="false" outlineLevel="0" collapsed="false">
      <c r="F43" s="55"/>
      <c r="H43" s="57"/>
      <c r="I43" s="28"/>
      <c r="J43" s="86" t="n">
        <f aca="false">SUM(J39:J42)</f>
        <v>85.3069</v>
      </c>
      <c r="R43" s="82" t="s">
        <v>284</v>
      </c>
      <c r="S43" s="82" t="s">
        <v>285</v>
      </c>
      <c r="W43" s="84" t="s">
        <v>123</v>
      </c>
      <c r="X43" s="84" t="s">
        <v>286</v>
      </c>
      <c r="Y43" s="84" t="s">
        <v>287</v>
      </c>
      <c r="Z43" s="84" t="s">
        <v>288</v>
      </c>
      <c r="AA43" s="84" t="s">
        <v>289</v>
      </c>
    </row>
    <row r="44" customFormat="false" ht="15" hidden="false" customHeight="false" outlineLevel="0" collapsed="false">
      <c r="B44" s="87" t="s">
        <v>310</v>
      </c>
      <c r="S44" s="87" t="s">
        <v>290</v>
      </c>
    </row>
    <row r="45" customFormat="false" ht="15" hidden="false" customHeight="false" outlineLevel="0" collapsed="false">
      <c r="B45" s="1" t="s">
        <v>311</v>
      </c>
      <c r="F45" s="55" t="s">
        <v>312</v>
      </c>
      <c r="H45" s="57" t="n">
        <v>3</v>
      </c>
      <c r="I45" s="28" t="n">
        <f aca="false">J37</f>
        <v>62.712</v>
      </c>
      <c r="J45" s="28" t="n">
        <f aca="false">H45%*I45</f>
        <v>1.88136</v>
      </c>
      <c r="S45" s="1" t="s">
        <v>291</v>
      </c>
      <c r="W45" s="55" t="s">
        <v>292</v>
      </c>
      <c r="X45" s="56" t="n">
        <v>1</v>
      </c>
      <c r="Y45" s="57" t="n">
        <f aca="false">X45*8/$U$42</f>
        <v>0.032</v>
      </c>
      <c r="Z45" s="28" t="n">
        <v>28.94</v>
      </c>
      <c r="AA45" s="28" t="n">
        <f aca="false">Y45*Z45</f>
        <v>0.92608</v>
      </c>
    </row>
    <row r="46" customFormat="false" ht="15" hidden="false" customHeight="false" outlineLevel="0" collapsed="false">
      <c r="B46" s="1" t="s">
        <v>866</v>
      </c>
      <c r="F46" s="55" t="s">
        <v>867</v>
      </c>
      <c r="G46" s="56" t="n">
        <v>2</v>
      </c>
      <c r="H46" s="57" t="n">
        <f aca="false">G46*8/$D$32</f>
        <v>1.6</v>
      </c>
      <c r="I46" s="1" t="n">
        <v>10.34</v>
      </c>
      <c r="J46" s="28" t="n">
        <f aca="false">H46%*I46</f>
        <v>0.16544</v>
      </c>
      <c r="S46" s="1" t="s">
        <v>680</v>
      </c>
      <c r="W46" s="55" t="s">
        <v>292</v>
      </c>
      <c r="X46" s="56" t="n">
        <v>1</v>
      </c>
      <c r="Y46" s="57" t="n">
        <f aca="false">X46*8/$U$42</f>
        <v>0.032</v>
      </c>
      <c r="Z46" s="28" t="n">
        <v>22.66</v>
      </c>
      <c r="AA46" s="28" t="n">
        <f aca="false">Y46*Z46</f>
        <v>0.72512</v>
      </c>
    </row>
    <row r="47" customFormat="false" ht="15" hidden="false" customHeight="false" outlineLevel="0" collapsed="false">
      <c r="A47" s="60"/>
      <c r="B47" s="60"/>
      <c r="C47" s="60"/>
      <c r="D47" s="60"/>
      <c r="E47" s="60"/>
      <c r="F47" s="60"/>
      <c r="G47" s="60"/>
      <c r="H47" s="60"/>
      <c r="I47" s="60"/>
      <c r="J47" s="89" t="n">
        <f aca="false">SUM(J45:J46)</f>
        <v>2.0468</v>
      </c>
      <c r="W47" s="55"/>
      <c r="X47" s="56"/>
      <c r="AA47" s="124" t="n">
        <f aca="false">SUM(AA45:AA46)</f>
        <v>1.6512</v>
      </c>
    </row>
    <row r="48" customFormat="false" ht="15" hidden="false" customHeight="false" outlineLevel="0" collapsed="false">
      <c r="S48" s="125" t="s">
        <v>295</v>
      </c>
      <c r="W48" s="55"/>
      <c r="X48" s="56"/>
      <c r="Y48" s="99"/>
    </row>
    <row r="49" customFormat="false" ht="15" hidden="false" customHeight="false" outlineLevel="0" collapsed="false">
      <c r="A49" s="82" t="s">
        <v>278</v>
      </c>
      <c r="B49" s="82" t="str">
        <f aca="false">ARQUITECTURA!A6</f>
        <v>03.01.03</v>
      </c>
      <c r="C49" s="82" t="s">
        <v>761</v>
      </c>
      <c r="D49" s="82"/>
      <c r="S49" s="1" t="s">
        <v>296</v>
      </c>
      <c r="W49" s="55" t="s">
        <v>297</v>
      </c>
      <c r="X49" s="56"/>
      <c r="Y49" s="99" t="n">
        <v>0.03</v>
      </c>
      <c r="Z49" s="28" t="n">
        <v>2.64</v>
      </c>
      <c r="AA49" s="28" t="n">
        <f aca="false">Y49*Z49</f>
        <v>0.0792</v>
      </c>
    </row>
    <row r="50" customFormat="false" ht="15" hidden="false" customHeight="false" outlineLevel="0" collapsed="false">
      <c r="A50" s="82" t="s">
        <v>279</v>
      </c>
      <c r="B50" s="82" t="s">
        <v>280</v>
      </c>
      <c r="C50" s="84" t="s">
        <v>281</v>
      </c>
      <c r="D50" s="85" t="n">
        <v>14</v>
      </c>
      <c r="E50" s="84" t="s">
        <v>282</v>
      </c>
      <c r="F50" s="85" t="n">
        <f aca="false">D50</f>
        <v>14</v>
      </c>
      <c r="G50" s="82" t="s">
        <v>283</v>
      </c>
      <c r="I50" s="84" t="s">
        <v>134</v>
      </c>
      <c r="J50" s="86" t="n">
        <f aca="false">J57+J68+J71</f>
        <v>141.066794285714</v>
      </c>
      <c r="S50" s="1" t="s">
        <v>681</v>
      </c>
      <c r="W50" s="55" t="s">
        <v>297</v>
      </c>
      <c r="X50" s="56"/>
      <c r="Y50" s="99" t="n">
        <v>1.05</v>
      </c>
      <c r="Z50" s="28" t="n">
        <f aca="false">1012.71*3.379/1000</f>
        <v>3.42194709</v>
      </c>
      <c r="AA50" s="28" t="n">
        <f aca="false">Y50*Z50</f>
        <v>3.5930444445</v>
      </c>
    </row>
    <row r="51" customFormat="false" ht="15" hidden="false" customHeight="false" outlineLevel="0" collapsed="false">
      <c r="A51" s="82" t="s">
        <v>284</v>
      </c>
      <c r="B51" s="82" t="s">
        <v>285</v>
      </c>
      <c r="F51" s="84" t="s">
        <v>123</v>
      </c>
      <c r="G51" s="84" t="s">
        <v>286</v>
      </c>
      <c r="H51" s="84" t="s">
        <v>287</v>
      </c>
      <c r="I51" s="84" t="s">
        <v>288</v>
      </c>
      <c r="J51" s="84" t="s">
        <v>289</v>
      </c>
      <c r="L51" s="82"/>
      <c r="M51" s="82"/>
      <c r="N51" s="122"/>
      <c r="W51" s="55"/>
      <c r="X51" s="56"/>
      <c r="AA51" s="124" t="n">
        <f aca="false">SUM(AA49:AA50)</f>
        <v>3.6722444445</v>
      </c>
    </row>
    <row r="52" customFormat="false" ht="15" hidden="false" customHeight="false" outlineLevel="0" collapsed="false">
      <c r="B52" s="87" t="s">
        <v>290</v>
      </c>
      <c r="M52" s="82"/>
      <c r="N52" s="122"/>
      <c r="S52" s="125" t="s">
        <v>318</v>
      </c>
      <c r="W52" s="55"/>
      <c r="X52" s="56"/>
    </row>
    <row r="53" customFormat="false" ht="15" hidden="false" customHeight="false" outlineLevel="0" collapsed="false">
      <c r="B53" s="1" t="s">
        <v>877</v>
      </c>
      <c r="F53" s="55" t="s">
        <v>292</v>
      </c>
      <c r="G53" s="56" t="n">
        <v>0.1</v>
      </c>
      <c r="H53" s="57" t="n">
        <f aca="false">G53*8/$D$50</f>
        <v>0.0571428571428572</v>
      </c>
      <c r="I53" s="28" t="n">
        <v>34.73</v>
      </c>
      <c r="J53" s="28" t="n">
        <f aca="false">H53*I53</f>
        <v>1.98457142857143</v>
      </c>
      <c r="M53" s="82"/>
      <c r="N53" s="122"/>
      <c r="S53" s="1" t="s">
        <v>311</v>
      </c>
      <c r="W53" s="55" t="s">
        <v>312</v>
      </c>
      <c r="Y53" s="57" t="n">
        <v>3</v>
      </c>
      <c r="Z53" s="28" t="n">
        <f aca="false">AA47</f>
        <v>1.6512</v>
      </c>
      <c r="AA53" s="28" t="n">
        <f aca="false">Y53%*Z53</f>
        <v>0.049536</v>
      </c>
    </row>
    <row r="54" customFormat="false" ht="15" hidden="false" customHeight="false" outlineLevel="0" collapsed="false">
      <c r="B54" s="1" t="s">
        <v>291</v>
      </c>
      <c r="F54" s="55" t="s">
        <v>292</v>
      </c>
      <c r="G54" s="56" t="n">
        <v>1</v>
      </c>
      <c r="H54" s="57" t="n">
        <f aca="false">G54*8/$D$50</f>
        <v>0.571428571428571</v>
      </c>
      <c r="I54" s="28" t="n">
        <v>28.94</v>
      </c>
      <c r="J54" s="28" t="n">
        <f aca="false">H54*I54</f>
        <v>16.5371428571429</v>
      </c>
      <c r="N54" s="122"/>
      <c r="S54" s="1" t="s">
        <v>682</v>
      </c>
      <c r="W54" s="55" t="s">
        <v>292</v>
      </c>
      <c r="X54" s="56" t="n">
        <v>1</v>
      </c>
      <c r="Y54" s="57" t="n">
        <f aca="false">X54*8/$U$42</f>
        <v>0.032</v>
      </c>
      <c r="Z54" s="46" t="n">
        <v>5</v>
      </c>
      <c r="AA54" s="28" t="n">
        <f aca="false">Y54*Z54</f>
        <v>0.16</v>
      </c>
    </row>
    <row r="55" customFormat="false" ht="15" hidden="false" customHeight="false" outlineLevel="0" collapsed="false">
      <c r="B55" s="1" t="s">
        <v>293</v>
      </c>
      <c r="F55" s="55" t="s">
        <v>292</v>
      </c>
      <c r="G55" s="56" t="n">
        <v>1</v>
      </c>
      <c r="H55" s="57" t="n">
        <f aca="false">G55*8/$D$50</f>
        <v>0.571428571428571</v>
      </c>
      <c r="I55" s="28" t="n">
        <v>22.66</v>
      </c>
      <c r="J55" s="28" t="n">
        <f aca="false">H55*I55</f>
        <v>12.9485714285714</v>
      </c>
      <c r="R55" s="60"/>
      <c r="S55" s="60"/>
      <c r="T55" s="60"/>
      <c r="U55" s="60"/>
      <c r="V55" s="60"/>
      <c r="W55" s="60"/>
      <c r="X55" s="60"/>
      <c r="Y55" s="60"/>
      <c r="Z55" s="60"/>
      <c r="AA55" s="126" t="n">
        <f aca="false">SUM(AA53:AA54)</f>
        <v>0.209536</v>
      </c>
    </row>
    <row r="56" customFormat="false" ht="15" hidden="false" customHeight="false" outlineLevel="0" collapsed="false">
      <c r="B56" s="1" t="s">
        <v>294</v>
      </c>
      <c r="F56" s="55" t="s">
        <v>292</v>
      </c>
      <c r="G56" s="56" t="n">
        <v>1</v>
      </c>
      <c r="H56" s="57" t="n">
        <f aca="false">G56*8/$D$50</f>
        <v>0.571428571428571</v>
      </c>
      <c r="I56" s="28" t="n">
        <v>20.51</v>
      </c>
      <c r="J56" s="28" t="n">
        <f aca="false">H56*I56</f>
        <v>11.72</v>
      </c>
      <c r="K56" s="28"/>
    </row>
    <row r="57" customFormat="false" ht="15" hidden="false" customHeight="false" outlineLevel="0" collapsed="false">
      <c r="F57" s="55"/>
      <c r="G57" s="56"/>
      <c r="H57" s="57"/>
      <c r="I57" s="28"/>
      <c r="J57" s="86" t="n">
        <f aca="false">SUM(J53:J56)</f>
        <v>43.1902857142857</v>
      </c>
      <c r="K57" s="28"/>
      <c r="R57" s="82" t="s">
        <v>278</v>
      </c>
      <c r="S57" s="121" t="n">
        <f aca="false">A25</f>
        <v>100000000013</v>
      </c>
      <c r="T57" s="82" t="s">
        <v>878</v>
      </c>
      <c r="U57" s="82"/>
    </row>
    <row r="58" customFormat="false" ht="15" hidden="false" customHeight="false" outlineLevel="0" collapsed="false">
      <c r="B58" s="87" t="s">
        <v>654</v>
      </c>
      <c r="F58" s="55"/>
      <c r="G58" s="56"/>
      <c r="H58" s="57"/>
      <c r="J58" s="28"/>
      <c r="K58" s="28"/>
      <c r="R58" s="82" t="s">
        <v>279</v>
      </c>
      <c r="S58" s="82" t="s">
        <v>417</v>
      </c>
      <c r="T58" s="84" t="s">
        <v>281</v>
      </c>
      <c r="U58" s="85" t="n">
        <v>20</v>
      </c>
      <c r="V58" s="84" t="s">
        <v>282</v>
      </c>
      <c r="W58" s="85" t="n">
        <f aca="false">U58</f>
        <v>20</v>
      </c>
      <c r="X58" s="82" t="s">
        <v>283</v>
      </c>
      <c r="Z58" s="84" t="s">
        <v>204</v>
      </c>
      <c r="AA58" s="86" t="n">
        <f aca="false">AA64+AA71+AA76</f>
        <v>377.33894</v>
      </c>
    </row>
    <row r="59" customFormat="false" ht="15" hidden="false" customHeight="true" outlineLevel="0" collapsed="false">
      <c r="B59" s="1" t="s">
        <v>879</v>
      </c>
      <c r="F59" s="55" t="s">
        <v>150</v>
      </c>
      <c r="H59" s="57" t="n">
        <v>0.4</v>
      </c>
      <c r="I59" s="28" t="n">
        <v>5.3</v>
      </c>
      <c r="J59" s="28" t="n">
        <f aca="false">H59*I59</f>
        <v>2.12</v>
      </c>
      <c r="R59" s="82" t="s">
        <v>284</v>
      </c>
      <c r="S59" s="82" t="s">
        <v>285</v>
      </c>
      <c r="W59" s="84" t="s">
        <v>123</v>
      </c>
      <c r="X59" s="84" t="s">
        <v>286</v>
      </c>
      <c r="Y59" s="84" t="s">
        <v>287</v>
      </c>
      <c r="Z59" s="84" t="s">
        <v>288</v>
      </c>
      <c r="AA59" s="84" t="s">
        <v>289</v>
      </c>
    </row>
    <row r="60" customFormat="false" ht="15" hidden="false" customHeight="true" outlineLevel="0" collapsed="false">
      <c r="B60" s="1" t="s">
        <v>880</v>
      </c>
      <c r="F60" s="55" t="s">
        <v>150</v>
      </c>
      <c r="H60" s="57" t="n">
        <v>8</v>
      </c>
      <c r="I60" s="28" t="n">
        <v>0.12</v>
      </c>
      <c r="J60" s="28" t="n">
        <f aca="false">H60*I60</f>
        <v>0.96</v>
      </c>
      <c r="S60" s="87" t="s">
        <v>290</v>
      </c>
    </row>
    <row r="61" customFormat="false" ht="15" hidden="false" customHeight="true" outlineLevel="0" collapsed="false">
      <c r="B61" s="1" t="s">
        <v>881</v>
      </c>
      <c r="F61" s="55" t="s">
        <v>150</v>
      </c>
      <c r="H61" s="57" t="n">
        <v>2.2</v>
      </c>
      <c r="I61" s="28" t="n">
        <v>16.2</v>
      </c>
      <c r="J61" s="28" t="n">
        <f aca="false">H61*I61</f>
        <v>35.64</v>
      </c>
      <c r="S61" s="1" t="s">
        <v>291</v>
      </c>
      <c r="W61" s="55" t="s">
        <v>292</v>
      </c>
      <c r="X61" s="56" t="n">
        <v>2</v>
      </c>
      <c r="Y61" s="57" t="n">
        <f aca="false">X61*8/$U$58</f>
        <v>0.8</v>
      </c>
      <c r="Z61" s="28" t="n">
        <v>28.94</v>
      </c>
      <c r="AA61" s="28" t="n">
        <f aca="false">Y61*Z61</f>
        <v>23.152</v>
      </c>
    </row>
    <row r="62" customFormat="false" ht="15" hidden="false" customHeight="true" outlineLevel="0" collapsed="false">
      <c r="B62" s="1" t="s">
        <v>882</v>
      </c>
      <c r="F62" s="55" t="s">
        <v>150</v>
      </c>
      <c r="H62" s="57" t="n">
        <v>0.12</v>
      </c>
      <c r="I62" s="28" t="n">
        <v>9.24</v>
      </c>
      <c r="J62" s="28" t="n">
        <f aca="false">H62*I62</f>
        <v>1.1088</v>
      </c>
      <c r="S62" s="1" t="s">
        <v>293</v>
      </c>
      <c r="W62" s="55" t="s">
        <v>292</v>
      </c>
      <c r="X62" s="56" t="n">
        <v>1</v>
      </c>
      <c r="Y62" s="57" t="n">
        <f aca="false">X62*8/$U$58</f>
        <v>0.4</v>
      </c>
      <c r="Z62" s="28" t="n">
        <v>22.66</v>
      </c>
      <c r="AA62" s="28" t="n">
        <f aca="false">Y62*Z62</f>
        <v>9.064</v>
      </c>
    </row>
    <row r="63" customFormat="false" ht="15" hidden="false" customHeight="true" outlineLevel="0" collapsed="false">
      <c r="B63" s="1" t="s">
        <v>883</v>
      </c>
      <c r="F63" s="55" t="s">
        <v>432</v>
      </c>
      <c r="H63" s="57" t="n">
        <v>0.35</v>
      </c>
      <c r="I63" s="28" t="n">
        <v>39.9</v>
      </c>
      <c r="J63" s="28" t="n">
        <f aca="false">H63*I63</f>
        <v>13.965</v>
      </c>
      <c r="S63" s="1" t="s">
        <v>294</v>
      </c>
      <c r="W63" s="55" t="s">
        <v>292</v>
      </c>
      <c r="X63" s="56" t="n">
        <v>8</v>
      </c>
      <c r="Y63" s="57" t="n">
        <f aca="false">X63*8/$U$58</f>
        <v>3.2</v>
      </c>
      <c r="Z63" s="28" t="n">
        <v>20.51</v>
      </c>
      <c r="AA63" s="28" t="n">
        <f aca="false">Y63*Z63</f>
        <v>65.632</v>
      </c>
    </row>
    <row r="64" customFormat="false" ht="15" hidden="false" customHeight="true" outlineLevel="0" collapsed="false">
      <c r="B64" s="1" t="s">
        <v>884</v>
      </c>
      <c r="F64" s="55" t="s">
        <v>150</v>
      </c>
      <c r="H64" s="57" t="n">
        <v>6</v>
      </c>
      <c r="I64" s="28" t="n">
        <v>0.1</v>
      </c>
      <c r="J64" s="28" t="n">
        <f aca="false">H64*I64</f>
        <v>0.6</v>
      </c>
      <c r="W64" s="55"/>
      <c r="X64" s="56"/>
      <c r="Y64" s="57"/>
      <c r="AA64" s="86" t="n">
        <f aca="false">SUM(AA61:AA63)</f>
        <v>97.848</v>
      </c>
    </row>
    <row r="65" customFormat="false" ht="15" hidden="false" customHeight="true" outlineLevel="0" collapsed="false">
      <c r="B65" s="1" t="s">
        <v>885</v>
      </c>
      <c r="F65" s="55" t="s">
        <v>150</v>
      </c>
      <c r="H65" s="57" t="n">
        <v>8</v>
      </c>
      <c r="I65" s="28" t="n">
        <v>0.02</v>
      </c>
      <c r="J65" s="28" t="n">
        <f aca="false">H65*I65</f>
        <v>0.16</v>
      </c>
      <c r="S65" s="87" t="s">
        <v>654</v>
      </c>
      <c r="W65" s="55"/>
      <c r="X65" s="56"/>
      <c r="Y65" s="57"/>
      <c r="AA65" s="28"/>
    </row>
    <row r="66" customFormat="false" ht="15" hidden="false" customHeight="true" outlineLevel="0" collapsed="false">
      <c r="B66" s="1" t="s">
        <v>886</v>
      </c>
      <c r="F66" s="55" t="s">
        <v>150</v>
      </c>
      <c r="H66" s="57" t="n">
        <v>0.7</v>
      </c>
      <c r="I66" s="28" t="n">
        <v>53</v>
      </c>
      <c r="J66" s="28" t="n">
        <f aca="false">H66*I66</f>
        <v>37.1</v>
      </c>
      <c r="S66" s="1" t="s">
        <v>673</v>
      </c>
      <c r="W66" s="55" t="s">
        <v>204</v>
      </c>
      <c r="Y66" s="57" t="n">
        <v>0.55</v>
      </c>
      <c r="Z66" s="28" t="n">
        <v>55.08</v>
      </c>
      <c r="AA66" s="28" t="n">
        <f aca="false">Y66*Z66</f>
        <v>30.294</v>
      </c>
    </row>
    <row r="67" customFormat="false" ht="15" hidden="false" customHeight="true" outlineLevel="0" collapsed="false">
      <c r="B67" s="1" t="s">
        <v>887</v>
      </c>
      <c r="F67" s="55" t="s">
        <v>150</v>
      </c>
      <c r="H67" s="57" t="n">
        <v>0.65</v>
      </c>
      <c r="I67" s="28" t="n">
        <v>7.58</v>
      </c>
      <c r="J67" s="28" t="n">
        <f aca="false">H67*I67</f>
        <v>4.927</v>
      </c>
      <c r="S67" s="1" t="s">
        <v>674</v>
      </c>
      <c r="W67" s="55" t="s">
        <v>204</v>
      </c>
      <c r="Y67" s="57" t="n">
        <v>0.51</v>
      </c>
      <c r="Z67" s="28" t="n">
        <v>47</v>
      </c>
      <c r="AA67" s="28" t="n">
        <f aca="false">Y67*Z67</f>
        <v>23.97</v>
      </c>
    </row>
    <row r="68" customFormat="false" ht="15" hidden="false" customHeight="false" outlineLevel="0" collapsed="false">
      <c r="F68" s="55"/>
      <c r="H68" s="57"/>
      <c r="I68" s="28"/>
      <c r="J68" s="86" t="n">
        <f aca="false">SUM(J59:J67)</f>
        <v>96.5808</v>
      </c>
      <c r="S68" s="1" t="s">
        <v>307</v>
      </c>
      <c r="W68" s="55" t="s">
        <v>308</v>
      </c>
      <c r="Y68" s="57" t="n">
        <v>8.43</v>
      </c>
      <c r="Z68" s="28" t="n">
        <v>24.52</v>
      </c>
      <c r="AA68" s="28" t="n">
        <f aca="false">Y68*Z68</f>
        <v>206.7036</v>
      </c>
    </row>
    <row r="69" customFormat="false" ht="15" hidden="false" customHeight="false" outlineLevel="0" collapsed="false">
      <c r="B69" s="87" t="s">
        <v>310</v>
      </c>
      <c r="S69" s="1" t="s">
        <v>656</v>
      </c>
      <c r="W69" s="55" t="s">
        <v>204</v>
      </c>
      <c r="Y69" s="57" t="n">
        <v>0.185</v>
      </c>
      <c r="Z69" s="1" t="n">
        <v>6.14</v>
      </c>
      <c r="AA69" s="28" t="n">
        <f aca="false">Y69*Z69</f>
        <v>1.1359</v>
      </c>
    </row>
    <row r="70" customFormat="false" ht="15" hidden="false" customHeight="false" outlineLevel="0" collapsed="false">
      <c r="B70" s="1" t="s">
        <v>311</v>
      </c>
      <c r="F70" s="55" t="s">
        <v>312</v>
      </c>
      <c r="H70" s="57" t="n">
        <v>3</v>
      </c>
      <c r="I70" s="28" t="n">
        <f aca="false">J57</f>
        <v>43.1902857142857</v>
      </c>
      <c r="J70" s="28" t="n">
        <f aca="false">H70%*I70</f>
        <v>1.29570857142857</v>
      </c>
      <c r="S70" s="1" t="s">
        <v>666</v>
      </c>
      <c r="W70" s="55" t="s">
        <v>440</v>
      </c>
      <c r="Y70" s="57" t="n">
        <v>0.2</v>
      </c>
      <c r="Z70" s="1" t="n">
        <v>13.93</v>
      </c>
      <c r="AA70" s="28" t="n">
        <f aca="false">Y70*Z70</f>
        <v>2.786</v>
      </c>
    </row>
    <row r="71" customFormat="false" ht="15" hidden="false" customHeight="false" outlineLevel="0" collapsed="false">
      <c r="A71" s="60"/>
      <c r="B71" s="60"/>
      <c r="C71" s="60"/>
      <c r="D71" s="60"/>
      <c r="E71" s="60"/>
      <c r="F71" s="60"/>
      <c r="G71" s="60"/>
      <c r="H71" s="60"/>
      <c r="I71" s="60"/>
      <c r="J71" s="89" t="n">
        <f aca="false">SUM(J70:J70)</f>
        <v>1.29570857142857</v>
      </c>
      <c r="W71" s="55"/>
      <c r="Y71" s="57"/>
      <c r="Z71" s="28"/>
      <c r="AA71" s="86" t="n">
        <f aca="false">SUM(AA66:AA70)</f>
        <v>264.8895</v>
      </c>
    </row>
    <row r="72" customFormat="false" ht="15" hidden="false" customHeight="false" outlineLevel="0" collapsed="false">
      <c r="R72" s="87" t="s">
        <v>310</v>
      </c>
    </row>
    <row r="73" customFormat="false" ht="15" hidden="false" customHeight="false" outlineLevel="0" collapsed="false">
      <c r="A73" s="82" t="s">
        <v>278</v>
      </c>
      <c r="B73" s="82" t="str">
        <f aca="false">ARQUITECTURA!A7</f>
        <v>03.01.04</v>
      </c>
      <c r="C73" s="82" t="s">
        <v>763</v>
      </c>
      <c r="D73" s="82"/>
      <c r="S73" s="1" t="s">
        <v>311</v>
      </c>
      <c r="W73" s="55" t="s">
        <v>312</v>
      </c>
      <c r="Y73" s="57" t="n">
        <v>3</v>
      </c>
      <c r="Z73" s="28" t="n">
        <f aca="false">AA64</f>
        <v>97.848</v>
      </c>
      <c r="AA73" s="28" t="n">
        <f aca="false">Y73%*Z73</f>
        <v>2.93544</v>
      </c>
    </row>
    <row r="74" customFormat="false" ht="15" hidden="false" customHeight="false" outlineLevel="0" collapsed="false">
      <c r="A74" s="82" t="s">
        <v>279</v>
      </c>
      <c r="B74" s="82" t="s">
        <v>280</v>
      </c>
      <c r="C74" s="84" t="s">
        <v>281</v>
      </c>
      <c r="D74" s="85" t="n">
        <v>8</v>
      </c>
      <c r="E74" s="84" t="s">
        <v>282</v>
      </c>
      <c r="F74" s="85" t="n">
        <f aca="false">D74</f>
        <v>8</v>
      </c>
      <c r="G74" s="82" t="s">
        <v>283</v>
      </c>
      <c r="I74" s="84" t="s">
        <v>134</v>
      </c>
      <c r="J74" s="86" t="n">
        <f aca="false">J80+J86+J89</f>
        <v>200.942138</v>
      </c>
      <c r="S74" s="1" t="s">
        <v>668</v>
      </c>
      <c r="W74" s="55" t="s">
        <v>338</v>
      </c>
      <c r="X74" s="56" t="n">
        <v>1</v>
      </c>
      <c r="Y74" s="57" t="n">
        <f aca="false">X74*8/$U$58</f>
        <v>0.4</v>
      </c>
      <c r="Z74" s="28" t="n">
        <v>25.63</v>
      </c>
      <c r="AA74" s="28" t="n">
        <f aca="false">Y74*Z74</f>
        <v>10.252</v>
      </c>
    </row>
    <row r="75" customFormat="false" ht="15" hidden="false" customHeight="false" outlineLevel="0" collapsed="false">
      <c r="A75" s="82" t="s">
        <v>284</v>
      </c>
      <c r="B75" s="82" t="s">
        <v>285</v>
      </c>
      <c r="F75" s="84" t="s">
        <v>123</v>
      </c>
      <c r="G75" s="84" t="s">
        <v>286</v>
      </c>
      <c r="H75" s="84" t="s">
        <v>287</v>
      </c>
      <c r="I75" s="84" t="s">
        <v>288</v>
      </c>
      <c r="J75" s="84" t="s">
        <v>289</v>
      </c>
      <c r="S75" s="1" t="s">
        <v>676</v>
      </c>
      <c r="W75" s="55" t="s">
        <v>338</v>
      </c>
      <c r="X75" s="56" t="n">
        <v>0.5</v>
      </c>
      <c r="Y75" s="57" t="n">
        <f aca="false">X75*8/$U$58</f>
        <v>0.2</v>
      </c>
      <c r="Z75" s="28" t="n">
        <v>7.07</v>
      </c>
      <c r="AA75" s="28" t="n">
        <f aca="false">Y75*Z75</f>
        <v>1.414</v>
      </c>
    </row>
    <row r="76" customFormat="false" ht="15" hidden="false" customHeight="false" outlineLevel="0" collapsed="false">
      <c r="B76" s="87" t="s">
        <v>290</v>
      </c>
      <c r="R76" s="60"/>
      <c r="S76" s="60"/>
      <c r="T76" s="60"/>
      <c r="U76" s="60"/>
      <c r="V76" s="60"/>
      <c r="W76" s="60"/>
      <c r="X76" s="60"/>
      <c r="Y76" s="60"/>
      <c r="Z76" s="60"/>
      <c r="AA76" s="89" t="n">
        <f aca="false">SUM(AA73:AA75)</f>
        <v>14.60144</v>
      </c>
    </row>
    <row r="77" customFormat="false" ht="15" hidden="false" customHeight="false" outlineLevel="0" collapsed="false">
      <c r="B77" s="1" t="s">
        <v>877</v>
      </c>
      <c r="F77" s="55" t="s">
        <v>292</v>
      </c>
      <c r="G77" s="56" t="n">
        <v>0.1</v>
      </c>
      <c r="H77" s="57" t="n">
        <f aca="false">G77*8/$D$74</f>
        <v>0.1</v>
      </c>
      <c r="I77" s="28" t="n">
        <v>34.73</v>
      </c>
      <c r="J77" s="28" t="n">
        <f aca="false">H77*I77</f>
        <v>3.473</v>
      </c>
    </row>
    <row r="78" customFormat="false" ht="15" hidden="false" customHeight="false" outlineLevel="0" collapsed="false">
      <c r="B78" s="1" t="s">
        <v>291</v>
      </c>
      <c r="F78" s="55" t="s">
        <v>292</v>
      </c>
      <c r="G78" s="56" t="n">
        <v>2</v>
      </c>
      <c r="H78" s="57" t="n">
        <f aca="false">G78*8/$D$74</f>
        <v>2</v>
      </c>
      <c r="I78" s="28" t="n">
        <v>28.94</v>
      </c>
      <c r="J78" s="28" t="n">
        <f aca="false">H78*I78</f>
        <v>57.88</v>
      </c>
      <c r="R78" s="82" t="s">
        <v>278</v>
      </c>
      <c r="S78" s="121" t="n">
        <f aca="false">A26</f>
        <v>100000000014</v>
      </c>
      <c r="T78" s="82" t="s">
        <v>888</v>
      </c>
      <c r="U78" s="82"/>
    </row>
    <row r="79" customFormat="false" ht="15" hidden="false" customHeight="false" outlineLevel="0" collapsed="false">
      <c r="B79" s="1" t="s">
        <v>293</v>
      </c>
      <c r="F79" s="55" t="s">
        <v>292</v>
      </c>
      <c r="G79" s="56" t="n">
        <v>1</v>
      </c>
      <c r="H79" s="57" t="n">
        <f aca="false">G79*8/$D$74</f>
        <v>1</v>
      </c>
      <c r="I79" s="28" t="n">
        <v>22.66</v>
      </c>
      <c r="J79" s="28" t="n">
        <f aca="false">H79*I79</f>
        <v>22.66</v>
      </c>
      <c r="R79" s="82" t="s">
        <v>279</v>
      </c>
      <c r="S79" s="82" t="s">
        <v>280</v>
      </c>
      <c r="T79" s="84" t="s">
        <v>281</v>
      </c>
      <c r="U79" s="85" t="n">
        <v>10</v>
      </c>
      <c r="V79" s="84" t="s">
        <v>282</v>
      </c>
      <c r="W79" s="85" t="n">
        <f aca="false">U79</f>
        <v>10</v>
      </c>
      <c r="X79" s="82" t="s">
        <v>283</v>
      </c>
      <c r="Z79" s="84" t="s">
        <v>134</v>
      </c>
      <c r="AA79" s="86" t="n">
        <f aca="false">AA85+AA90+AA93</f>
        <v>71.15862</v>
      </c>
    </row>
    <row r="80" customFormat="false" ht="15" hidden="false" customHeight="false" outlineLevel="0" collapsed="false">
      <c r="F80" s="55"/>
      <c r="G80" s="56"/>
      <c r="H80" s="57"/>
      <c r="I80" s="28"/>
      <c r="J80" s="86" t="n">
        <f aca="false">SUM(J78:J79)</f>
        <v>80.54</v>
      </c>
      <c r="R80" s="82" t="s">
        <v>284</v>
      </c>
      <c r="S80" s="82" t="s">
        <v>285</v>
      </c>
      <c r="W80" s="84" t="s">
        <v>123</v>
      </c>
      <c r="X80" s="84" t="s">
        <v>286</v>
      </c>
      <c r="Y80" s="84" t="s">
        <v>287</v>
      </c>
      <c r="Z80" s="84" t="s">
        <v>288</v>
      </c>
      <c r="AA80" s="84" t="s">
        <v>289</v>
      </c>
    </row>
    <row r="81" customFormat="false" ht="15" hidden="false" customHeight="false" outlineLevel="0" collapsed="false">
      <c r="B81" s="87" t="s">
        <v>654</v>
      </c>
      <c r="F81" s="55"/>
      <c r="G81" s="56"/>
      <c r="H81" s="57"/>
      <c r="J81" s="28"/>
      <c r="S81" s="87" t="s">
        <v>290</v>
      </c>
    </row>
    <row r="82" customFormat="false" ht="15" hidden="false" customHeight="false" outlineLevel="0" collapsed="false">
      <c r="B82" s="1" t="s">
        <v>889</v>
      </c>
      <c r="F82" s="55" t="s">
        <v>150</v>
      </c>
      <c r="H82" s="57" t="n">
        <v>7</v>
      </c>
      <c r="I82" s="1" t="n">
        <v>1.01</v>
      </c>
      <c r="J82" s="28" t="n">
        <f aca="false">H82*I82</f>
        <v>7.07</v>
      </c>
      <c r="S82" s="1" t="s">
        <v>291</v>
      </c>
      <c r="W82" s="55" t="s">
        <v>292</v>
      </c>
      <c r="X82" s="56" t="n">
        <v>1</v>
      </c>
      <c r="Y82" s="57" t="n">
        <f aca="false">X82*8/$U$79</f>
        <v>0.8</v>
      </c>
      <c r="Z82" s="28" t="n">
        <v>28.94</v>
      </c>
      <c r="AA82" s="28" t="n">
        <f aca="false">Y82*Z82</f>
        <v>23.152</v>
      </c>
    </row>
    <row r="83" customFormat="false" ht="15" hidden="false" customHeight="false" outlineLevel="0" collapsed="false">
      <c r="B83" s="1" t="s">
        <v>890</v>
      </c>
      <c r="F83" s="55" t="s">
        <v>134</v>
      </c>
      <c r="H83" s="57" t="n">
        <v>1.5</v>
      </c>
      <c r="I83" s="28" t="n">
        <v>39.9</v>
      </c>
      <c r="J83" s="28" t="n">
        <f aca="false">H83*I83</f>
        <v>59.85</v>
      </c>
      <c r="S83" s="1" t="s">
        <v>293</v>
      </c>
      <c r="W83" s="55" t="s">
        <v>292</v>
      </c>
      <c r="X83" s="56" t="n">
        <v>1</v>
      </c>
      <c r="Y83" s="57" t="n">
        <f aca="false">X83*8/$U$79</f>
        <v>0.8</v>
      </c>
      <c r="Z83" s="28" t="n">
        <v>22.66</v>
      </c>
      <c r="AA83" s="28" t="n">
        <f aca="false">Y83*Z83</f>
        <v>18.128</v>
      </c>
    </row>
    <row r="84" customFormat="false" ht="15" hidden="false" customHeight="true" outlineLevel="0" collapsed="false">
      <c r="B84" s="1" t="s">
        <v>891</v>
      </c>
      <c r="F84" s="55" t="s">
        <v>145</v>
      </c>
      <c r="H84" s="57" t="n">
        <v>4.5</v>
      </c>
      <c r="I84" s="28" t="n">
        <v>5.66</v>
      </c>
      <c r="J84" s="28" t="n">
        <f aca="false">H84*I84</f>
        <v>25.47</v>
      </c>
      <c r="S84" s="1" t="s">
        <v>294</v>
      </c>
      <c r="W84" s="55" t="s">
        <v>292</v>
      </c>
      <c r="X84" s="56" t="n">
        <v>0.5</v>
      </c>
      <c r="Y84" s="57" t="n">
        <f aca="false">X84*8/$U$79</f>
        <v>0.4</v>
      </c>
      <c r="Z84" s="28" t="n">
        <v>20.51</v>
      </c>
      <c r="AA84" s="28" t="n">
        <f aca="false">Y84*Z84</f>
        <v>8.204</v>
      </c>
    </row>
    <row r="85" customFormat="false" ht="15" hidden="false" customHeight="false" outlineLevel="0" collapsed="false">
      <c r="B85" s="1" t="s">
        <v>892</v>
      </c>
      <c r="F85" s="55" t="s">
        <v>145</v>
      </c>
      <c r="H85" s="57" t="n">
        <v>4.8102</v>
      </c>
      <c r="I85" s="1" t="n">
        <v>5.79</v>
      </c>
      <c r="J85" s="28" t="n">
        <f aca="false">H85*I85</f>
        <v>27.851058</v>
      </c>
      <c r="W85" s="55"/>
      <c r="X85" s="56"/>
      <c r="Y85" s="57"/>
      <c r="AA85" s="86" t="n">
        <f aca="false">SUM(AA82:AA84)</f>
        <v>49.484</v>
      </c>
    </row>
    <row r="86" customFormat="false" ht="15" hidden="false" customHeight="false" outlineLevel="0" collapsed="false">
      <c r="F86" s="55"/>
      <c r="H86" s="57"/>
      <c r="I86" s="28"/>
      <c r="J86" s="86" t="n">
        <f aca="false">SUM(J82:J85)</f>
        <v>120.241058</v>
      </c>
      <c r="S86" s="87" t="s">
        <v>654</v>
      </c>
      <c r="W86" s="55"/>
      <c r="X86" s="56"/>
      <c r="Y86" s="57"/>
      <c r="AA86" s="28"/>
    </row>
    <row r="87" customFormat="false" ht="15" hidden="false" customHeight="false" outlineLevel="0" collapsed="false">
      <c r="B87" s="87" t="s">
        <v>310</v>
      </c>
      <c r="S87" s="1" t="s">
        <v>689</v>
      </c>
      <c r="W87" s="55" t="s">
        <v>297</v>
      </c>
      <c r="Y87" s="57" t="n">
        <v>0.3</v>
      </c>
      <c r="Z87" s="28" t="n">
        <v>2.64</v>
      </c>
      <c r="AA87" s="28" t="n">
        <f aca="false">Y87*Z87</f>
        <v>0.792</v>
      </c>
    </row>
    <row r="88" customFormat="false" ht="15" hidden="false" customHeight="false" outlineLevel="0" collapsed="false">
      <c r="B88" s="1" t="s">
        <v>311</v>
      </c>
      <c r="F88" s="55" t="s">
        <v>312</v>
      </c>
      <c r="H88" s="57" t="n">
        <v>0.2</v>
      </c>
      <c r="I88" s="28" t="n">
        <f aca="false">J80</f>
        <v>80.54</v>
      </c>
      <c r="J88" s="28" t="n">
        <f aca="false">H88%*I88</f>
        <v>0.16108</v>
      </c>
      <c r="S88" s="1" t="s">
        <v>302</v>
      </c>
      <c r="W88" s="55" t="s">
        <v>297</v>
      </c>
      <c r="Y88" s="57" t="n">
        <v>0.31</v>
      </c>
      <c r="Z88" s="28" t="n">
        <v>5.51</v>
      </c>
      <c r="AA88" s="28" t="n">
        <f aca="false">Y88*Z88</f>
        <v>1.7081</v>
      </c>
    </row>
    <row r="89" customFormat="false" ht="15" hidden="false" customHeight="false" outlineLevel="0" collapsed="false">
      <c r="A89" s="60"/>
      <c r="B89" s="60"/>
      <c r="C89" s="60"/>
      <c r="D89" s="60"/>
      <c r="E89" s="60"/>
      <c r="F89" s="60"/>
      <c r="G89" s="60"/>
      <c r="H89" s="60"/>
      <c r="I89" s="60"/>
      <c r="J89" s="89" t="n">
        <f aca="false">SUM(J88:J88)</f>
        <v>0.16108</v>
      </c>
      <c r="S89" s="1" t="s">
        <v>670</v>
      </c>
      <c r="W89" s="55" t="s">
        <v>306</v>
      </c>
      <c r="Y89" s="57" t="n">
        <v>3.05</v>
      </c>
      <c r="Z89" s="28" t="n">
        <v>5.8</v>
      </c>
      <c r="AA89" s="28" t="n">
        <f aca="false">Y89*Z89</f>
        <v>17.69</v>
      </c>
    </row>
    <row r="90" customFormat="false" ht="15" hidden="false" customHeight="false" outlineLevel="0" collapsed="false">
      <c r="W90" s="55"/>
      <c r="Y90" s="57"/>
      <c r="Z90" s="28"/>
      <c r="AA90" s="86" t="n">
        <f aca="false">SUM(AA87:AA89)</f>
        <v>20.1901</v>
      </c>
    </row>
    <row r="91" customFormat="false" ht="15" hidden="false" customHeight="false" outlineLevel="0" collapsed="false">
      <c r="A91" s="82" t="s">
        <v>278</v>
      </c>
      <c r="B91" s="82" t="str">
        <f aca="false">ARQUITECTURA!A8</f>
        <v>03.01.05</v>
      </c>
      <c r="C91" s="82" t="s">
        <v>893</v>
      </c>
      <c r="D91" s="82"/>
      <c r="S91" s="87" t="s">
        <v>310</v>
      </c>
    </row>
    <row r="92" customFormat="false" ht="15" hidden="false" customHeight="false" outlineLevel="0" collapsed="false">
      <c r="A92" s="82" t="s">
        <v>279</v>
      </c>
      <c r="B92" s="82" t="s">
        <v>280</v>
      </c>
      <c r="C92" s="84" t="s">
        <v>281</v>
      </c>
      <c r="D92" s="85" t="n">
        <v>2</v>
      </c>
      <c r="E92" s="84" t="s">
        <v>282</v>
      </c>
      <c r="F92" s="85" t="n">
        <f aca="false">D92</f>
        <v>2</v>
      </c>
      <c r="G92" s="82" t="s">
        <v>283</v>
      </c>
      <c r="I92" s="84" t="s">
        <v>134</v>
      </c>
      <c r="J92" s="86" t="n">
        <f aca="false">J99+J119+J122</f>
        <v>300.227954</v>
      </c>
      <c r="S92" s="1" t="s">
        <v>311</v>
      </c>
      <c r="W92" s="55" t="s">
        <v>312</v>
      </c>
      <c r="Y92" s="57" t="n">
        <v>3</v>
      </c>
      <c r="Z92" s="28" t="n">
        <f aca="false">AA85</f>
        <v>49.484</v>
      </c>
      <c r="AA92" s="28" t="n">
        <f aca="false">Y92%*Z92</f>
        <v>1.48452</v>
      </c>
    </row>
    <row r="93" customFormat="false" ht="15" hidden="false" customHeight="false" outlineLevel="0" collapsed="false">
      <c r="A93" s="82" t="s">
        <v>284</v>
      </c>
      <c r="B93" s="82" t="s">
        <v>285</v>
      </c>
      <c r="F93" s="84" t="s">
        <v>123</v>
      </c>
      <c r="G93" s="84" t="s">
        <v>286</v>
      </c>
      <c r="H93" s="84" t="s">
        <v>287</v>
      </c>
      <c r="I93" s="84" t="s">
        <v>288</v>
      </c>
      <c r="J93" s="84" t="s">
        <v>289</v>
      </c>
      <c r="R93" s="60"/>
      <c r="S93" s="60"/>
      <c r="T93" s="60"/>
      <c r="U93" s="60"/>
      <c r="V93" s="60"/>
      <c r="W93" s="60"/>
      <c r="X93" s="60"/>
      <c r="Y93" s="60"/>
      <c r="Z93" s="60"/>
      <c r="AA93" s="89" t="n">
        <f aca="false">SUM(AA92)</f>
        <v>1.48452</v>
      </c>
    </row>
    <row r="94" customFormat="false" ht="15" hidden="false" customHeight="false" outlineLevel="0" collapsed="false">
      <c r="B94" s="87" t="s">
        <v>290</v>
      </c>
    </row>
    <row r="95" customFormat="false" ht="15" hidden="false" customHeight="false" outlineLevel="0" collapsed="false">
      <c r="B95" s="1" t="s">
        <v>877</v>
      </c>
      <c r="F95" s="55" t="s">
        <v>292</v>
      </c>
      <c r="G95" s="56" t="n">
        <v>0.1</v>
      </c>
      <c r="H95" s="57" t="n">
        <f aca="false">G95*8/$D$92</f>
        <v>0.4</v>
      </c>
      <c r="I95" s="28" t="n">
        <v>34.73</v>
      </c>
      <c r="J95" s="28" t="n">
        <f aca="false">H95*I95</f>
        <v>13.892</v>
      </c>
      <c r="R95" s="82" t="s">
        <v>278</v>
      </c>
      <c r="S95" s="121" t="n">
        <f aca="false">A27</f>
        <v>100000000015</v>
      </c>
      <c r="T95" s="82" t="s">
        <v>894</v>
      </c>
      <c r="U95" s="82"/>
    </row>
    <row r="96" customFormat="false" ht="15" hidden="false" customHeight="false" outlineLevel="0" collapsed="false">
      <c r="B96" s="1" t="s">
        <v>291</v>
      </c>
      <c r="F96" s="55" t="s">
        <v>292</v>
      </c>
      <c r="G96" s="56" t="n">
        <v>1</v>
      </c>
      <c r="H96" s="57" t="n">
        <f aca="false">G96*8/$D$92</f>
        <v>4</v>
      </c>
      <c r="I96" s="28" t="n">
        <v>28.94</v>
      </c>
      <c r="J96" s="28" t="n">
        <f aca="false">H96*I96</f>
        <v>115.76</v>
      </c>
      <c r="R96" s="82" t="s">
        <v>279</v>
      </c>
      <c r="S96" s="82" t="s">
        <v>280</v>
      </c>
      <c r="T96" s="84" t="s">
        <v>281</v>
      </c>
      <c r="U96" s="85" t="n">
        <v>250</v>
      </c>
      <c r="V96" s="84" t="s">
        <v>282</v>
      </c>
      <c r="W96" s="85" t="n">
        <f aca="false">U96</f>
        <v>250</v>
      </c>
      <c r="X96" s="82" t="s">
        <v>283</v>
      </c>
      <c r="Z96" s="84" t="s">
        <v>134</v>
      </c>
      <c r="AA96" s="86" t="n">
        <f aca="false">AA101+AA105+AA109</f>
        <v>5.4621164445</v>
      </c>
    </row>
    <row r="97" customFormat="false" ht="15" hidden="false" customHeight="false" outlineLevel="0" collapsed="false">
      <c r="B97" s="1" t="s">
        <v>293</v>
      </c>
      <c r="F97" s="55" t="s">
        <v>292</v>
      </c>
      <c r="G97" s="56" t="n">
        <v>0.5</v>
      </c>
      <c r="H97" s="57" t="n">
        <f aca="false">G97*8/$D$92</f>
        <v>2</v>
      </c>
      <c r="I97" s="28" t="n">
        <v>22.66</v>
      </c>
      <c r="J97" s="28" t="n">
        <f aca="false">H97*I97</f>
        <v>45.32</v>
      </c>
      <c r="R97" s="82" t="s">
        <v>284</v>
      </c>
      <c r="S97" s="82" t="s">
        <v>285</v>
      </c>
      <c r="W97" s="84" t="s">
        <v>123</v>
      </c>
      <c r="X97" s="84" t="s">
        <v>286</v>
      </c>
      <c r="Y97" s="84" t="s">
        <v>287</v>
      </c>
      <c r="Z97" s="84" t="s">
        <v>288</v>
      </c>
      <c r="AA97" s="84" t="s">
        <v>289</v>
      </c>
    </row>
    <row r="98" customFormat="false" ht="15" hidden="false" customHeight="false" outlineLevel="0" collapsed="false">
      <c r="B98" s="1" t="s">
        <v>294</v>
      </c>
      <c r="F98" s="55" t="s">
        <v>292</v>
      </c>
      <c r="G98" s="56" t="n">
        <v>1</v>
      </c>
      <c r="H98" s="57" t="n">
        <f aca="false">G98*8/$D$92</f>
        <v>4</v>
      </c>
      <c r="I98" s="28" t="n">
        <v>20.51</v>
      </c>
      <c r="J98" s="28" t="n">
        <f aca="false">H98*I98</f>
        <v>82.04</v>
      </c>
      <c r="S98" s="87" t="s">
        <v>290</v>
      </c>
    </row>
    <row r="99" customFormat="false" ht="15" hidden="false" customHeight="false" outlineLevel="0" collapsed="false">
      <c r="F99" s="55"/>
      <c r="G99" s="56"/>
      <c r="H99" s="57"/>
      <c r="I99" s="28"/>
      <c r="J99" s="86" t="n">
        <f aca="false">SUM(J95:J98)</f>
        <v>257.012</v>
      </c>
      <c r="S99" s="1" t="s">
        <v>291</v>
      </c>
      <c r="W99" s="55" t="s">
        <v>292</v>
      </c>
      <c r="X99" s="56" t="n">
        <v>1</v>
      </c>
      <c r="Y99" s="57" t="n">
        <f aca="false">X99*8/$U$96</f>
        <v>0.032</v>
      </c>
      <c r="Z99" s="28" t="n">
        <v>28.94</v>
      </c>
      <c r="AA99" s="28" t="n">
        <f aca="false">Y99*Z99</f>
        <v>0.92608</v>
      </c>
    </row>
    <row r="100" customFormat="false" ht="15" hidden="false" customHeight="false" outlineLevel="0" collapsed="false">
      <c r="B100" s="87" t="s">
        <v>654</v>
      </c>
      <c r="F100" s="55"/>
      <c r="G100" s="56"/>
      <c r="H100" s="57"/>
      <c r="J100" s="28"/>
      <c r="S100" s="1" t="s">
        <v>680</v>
      </c>
      <c r="W100" s="55" t="s">
        <v>292</v>
      </c>
      <c r="X100" s="56" t="n">
        <v>1</v>
      </c>
      <c r="Y100" s="57" t="n">
        <f aca="false">X100*8/$U$96</f>
        <v>0.032</v>
      </c>
      <c r="Z100" s="28" t="n">
        <v>20.51</v>
      </c>
      <c r="AA100" s="28" t="n">
        <f aca="false">Y100*Z100</f>
        <v>0.65632</v>
      </c>
    </row>
    <row r="101" customFormat="false" ht="15" hidden="false" customHeight="false" outlineLevel="0" collapsed="false">
      <c r="B101" s="1" t="s">
        <v>296</v>
      </c>
      <c r="F101" s="55" t="s">
        <v>297</v>
      </c>
      <c r="H101" s="57" t="n">
        <v>0.185</v>
      </c>
      <c r="I101" s="1" t="n">
        <v>2.64</v>
      </c>
      <c r="J101" s="28" t="n">
        <f aca="false">H101*I101</f>
        <v>0.4884</v>
      </c>
      <c r="W101" s="55"/>
      <c r="X101" s="56"/>
      <c r="AA101" s="124" t="n">
        <f aca="false">SUM(AA99:AA100)</f>
        <v>1.5824</v>
      </c>
    </row>
    <row r="102" customFormat="false" ht="15" hidden="false" customHeight="false" outlineLevel="0" collapsed="false">
      <c r="B102" s="1" t="s">
        <v>678</v>
      </c>
      <c r="F102" s="55" t="s">
        <v>297</v>
      </c>
      <c r="H102" s="1" t="n">
        <v>0.151</v>
      </c>
      <c r="I102" s="1" t="n">
        <v>2.64</v>
      </c>
      <c r="J102" s="28" t="n">
        <f aca="false">H102*I102</f>
        <v>0.39864</v>
      </c>
      <c r="S102" s="125" t="s">
        <v>295</v>
      </c>
      <c r="W102" s="55"/>
      <c r="X102" s="56"/>
      <c r="Y102" s="99"/>
    </row>
    <row r="103" customFormat="false" ht="15" hidden="false" customHeight="false" outlineLevel="0" collapsed="false">
      <c r="B103" s="1" t="s">
        <v>302</v>
      </c>
      <c r="F103" s="55" t="s">
        <v>297</v>
      </c>
      <c r="H103" s="1" t="n">
        <v>0.267</v>
      </c>
      <c r="I103" s="1" t="n">
        <v>5.51</v>
      </c>
      <c r="J103" s="28" t="n">
        <f aca="false">H103*I103</f>
        <v>1.47117</v>
      </c>
      <c r="S103" s="1" t="s">
        <v>296</v>
      </c>
      <c r="W103" s="55" t="s">
        <v>297</v>
      </c>
      <c r="X103" s="56"/>
      <c r="Y103" s="99" t="n">
        <v>0.03</v>
      </c>
      <c r="Z103" s="28" t="n">
        <v>2.64</v>
      </c>
      <c r="AA103" s="28" t="n">
        <f aca="false">Y103*Z103</f>
        <v>0.0792</v>
      </c>
    </row>
    <row r="104" customFormat="false" ht="15" hidden="false" customHeight="false" outlineLevel="0" collapsed="false">
      <c r="B104" s="1" t="s">
        <v>895</v>
      </c>
      <c r="F104" s="55" t="s">
        <v>297</v>
      </c>
      <c r="H104" s="1" t="n">
        <v>7.962</v>
      </c>
      <c r="I104" s="1" t="n">
        <v>3.42</v>
      </c>
      <c r="J104" s="28" t="n">
        <f aca="false">H104*I104</f>
        <v>27.23004</v>
      </c>
      <c r="S104" s="1" t="s">
        <v>681</v>
      </c>
      <c r="W104" s="55" t="s">
        <v>297</v>
      </c>
      <c r="X104" s="56"/>
      <c r="Y104" s="99" t="n">
        <v>1.05</v>
      </c>
      <c r="Z104" s="28" t="n">
        <f aca="false">1012.71*3.379/1000</f>
        <v>3.42194709</v>
      </c>
      <c r="AA104" s="28" t="n">
        <f aca="false">Y104*Z104</f>
        <v>3.5930444445</v>
      </c>
    </row>
    <row r="105" customFormat="false" ht="15" hidden="false" customHeight="false" outlineLevel="0" collapsed="false">
      <c r="B105" s="1" t="s">
        <v>896</v>
      </c>
      <c r="F105" s="55" t="s">
        <v>204</v>
      </c>
      <c r="H105" s="1" t="n">
        <v>0.065</v>
      </c>
      <c r="I105" s="1" t="n">
        <v>65</v>
      </c>
      <c r="J105" s="28" t="n">
        <f aca="false">H105*I105</f>
        <v>4.225</v>
      </c>
      <c r="W105" s="55"/>
      <c r="X105" s="56"/>
      <c r="AA105" s="124" t="n">
        <f aca="false">SUM(AA103:AA104)</f>
        <v>3.6722444445</v>
      </c>
    </row>
    <row r="106" customFormat="false" ht="15" hidden="false" customHeight="false" outlineLevel="0" collapsed="false">
      <c r="B106" s="1" t="s">
        <v>701</v>
      </c>
      <c r="F106" s="55" t="s">
        <v>204</v>
      </c>
      <c r="H106" s="1" t="n">
        <v>0.069</v>
      </c>
      <c r="I106" s="1" t="n">
        <v>65</v>
      </c>
      <c r="J106" s="28" t="n">
        <f aca="false">H106*I106</f>
        <v>4.485</v>
      </c>
      <c r="S106" s="125" t="s">
        <v>318</v>
      </c>
      <c r="W106" s="55"/>
      <c r="X106" s="56"/>
    </row>
    <row r="107" customFormat="false" ht="15" hidden="false" customHeight="false" outlineLevel="0" collapsed="false">
      <c r="B107" s="1" t="s">
        <v>673</v>
      </c>
      <c r="F107" s="55" t="s">
        <v>204</v>
      </c>
      <c r="H107" s="1" t="n">
        <v>0.068</v>
      </c>
      <c r="I107" s="1" t="n">
        <v>55.08</v>
      </c>
      <c r="J107" s="28" t="n">
        <f aca="false">H107*I107</f>
        <v>3.74544</v>
      </c>
      <c r="S107" s="1" t="s">
        <v>311</v>
      </c>
      <c r="W107" s="55" t="s">
        <v>312</v>
      </c>
      <c r="Y107" s="57" t="n">
        <v>3</v>
      </c>
      <c r="Z107" s="28" t="n">
        <f aca="false">AA101</f>
        <v>1.5824</v>
      </c>
      <c r="AA107" s="28" t="n">
        <f aca="false">Y107%*Z107</f>
        <v>0.047472</v>
      </c>
    </row>
    <row r="108" customFormat="false" ht="15" hidden="false" customHeight="false" outlineLevel="0" collapsed="false">
      <c r="B108" s="1" t="s">
        <v>329</v>
      </c>
      <c r="F108" s="55" t="s">
        <v>204</v>
      </c>
      <c r="H108" s="1" t="n">
        <v>0.007</v>
      </c>
      <c r="I108" s="1" t="n">
        <v>80</v>
      </c>
      <c r="J108" s="28" t="n">
        <f aca="false">H108*I108</f>
        <v>0.56</v>
      </c>
      <c r="S108" s="1" t="s">
        <v>682</v>
      </c>
      <c r="W108" s="55" t="s">
        <v>292</v>
      </c>
      <c r="X108" s="56" t="n">
        <v>1</v>
      </c>
      <c r="Y108" s="57" t="n">
        <f aca="false">X108*8/$U$96</f>
        <v>0.032</v>
      </c>
      <c r="Z108" s="46" t="n">
        <v>5</v>
      </c>
      <c r="AA108" s="28" t="n">
        <f aca="false">Y108*Z108</f>
        <v>0.16</v>
      </c>
    </row>
    <row r="109" customFormat="false" ht="15" hidden="false" customHeight="false" outlineLevel="0" collapsed="false">
      <c r="B109" s="1" t="s">
        <v>665</v>
      </c>
      <c r="F109" s="55" t="s">
        <v>204</v>
      </c>
      <c r="H109" s="1" t="n">
        <v>0.016</v>
      </c>
      <c r="I109" s="1" t="n">
        <v>6.14</v>
      </c>
      <c r="J109" s="28" t="n">
        <f aca="false">H109*I109</f>
        <v>0.09824</v>
      </c>
      <c r="R109" s="60"/>
      <c r="S109" s="60"/>
      <c r="T109" s="60"/>
      <c r="U109" s="60"/>
      <c r="V109" s="60"/>
      <c r="W109" s="60"/>
      <c r="X109" s="60"/>
      <c r="Y109" s="60"/>
      <c r="Z109" s="60"/>
      <c r="AA109" s="126" t="n">
        <f aca="false">SUM(AA107:AA108)</f>
        <v>0.207472</v>
      </c>
    </row>
    <row r="110" customFormat="false" ht="15" hidden="false" customHeight="false" outlineLevel="0" collapsed="false">
      <c r="B110" s="1" t="s">
        <v>865</v>
      </c>
      <c r="F110" s="55" t="s">
        <v>150</v>
      </c>
      <c r="H110" s="1" t="n">
        <v>30</v>
      </c>
      <c r="I110" s="1" t="n">
        <v>1.02</v>
      </c>
      <c r="J110" s="28" t="n">
        <f aca="false">H110*I110</f>
        <v>30.6</v>
      </c>
    </row>
    <row r="111" customFormat="false" ht="15" hidden="false" customHeight="false" outlineLevel="0" collapsed="false">
      <c r="B111" s="1" t="s">
        <v>897</v>
      </c>
      <c r="F111" s="55" t="s">
        <v>308</v>
      </c>
      <c r="H111" s="1" t="n">
        <v>1.505</v>
      </c>
      <c r="I111" s="1" t="n">
        <v>24.52</v>
      </c>
      <c r="J111" s="28" t="n">
        <f aca="false">H111*I111</f>
        <v>36.9026</v>
      </c>
      <c r="R111" s="82" t="s">
        <v>278</v>
      </c>
      <c r="S111" s="121" t="n">
        <f aca="false">A28</f>
        <v>100000000016</v>
      </c>
      <c r="T111" s="82" t="s">
        <v>875</v>
      </c>
      <c r="U111" s="82"/>
      <c r="V111" s="82"/>
      <c r="W111" s="82"/>
      <c r="X111" s="82"/>
      <c r="Y111" s="82"/>
      <c r="Z111" s="82"/>
    </row>
    <row r="112" customFormat="false" ht="15" hidden="false" customHeight="false" outlineLevel="0" collapsed="false">
      <c r="B112" s="1" t="s">
        <v>898</v>
      </c>
      <c r="F112" s="55" t="s">
        <v>134</v>
      </c>
      <c r="H112" s="1" t="n">
        <v>1.27</v>
      </c>
      <c r="I112" s="1" t="n">
        <v>24.9</v>
      </c>
      <c r="J112" s="28" t="n">
        <f aca="false">H112*I112</f>
        <v>31.623</v>
      </c>
      <c r="R112" s="82" t="s">
        <v>279</v>
      </c>
      <c r="S112" s="82" t="s">
        <v>314</v>
      </c>
      <c r="T112" s="84" t="s">
        <v>281</v>
      </c>
      <c r="U112" s="85" t="n">
        <v>40</v>
      </c>
      <c r="V112" s="84" t="s">
        <v>282</v>
      </c>
      <c r="W112" s="85" t="n">
        <f aca="false">U112</f>
        <v>40</v>
      </c>
      <c r="X112" s="82" t="s">
        <v>283</v>
      </c>
      <c r="Z112" s="84" t="s">
        <v>145</v>
      </c>
      <c r="AA112" s="86" t="n">
        <f aca="false">AA118+AA125+AA128</f>
        <v>54.909138</v>
      </c>
    </row>
    <row r="113" customFormat="false" ht="15" hidden="false" customHeight="false" outlineLevel="0" collapsed="false">
      <c r="B113" s="1" t="s">
        <v>899</v>
      </c>
      <c r="F113" s="55" t="s">
        <v>297</v>
      </c>
      <c r="H113" s="1" t="n">
        <v>0.315</v>
      </c>
      <c r="I113" s="1" t="n">
        <v>7.4</v>
      </c>
      <c r="J113" s="28" t="n">
        <f aca="false">H113*I113</f>
        <v>2.331</v>
      </c>
      <c r="R113" s="82" t="s">
        <v>284</v>
      </c>
      <c r="S113" s="82" t="s">
        <v>285</v>
      </c>
      <c r="W113" s="84" t="s">
        <v>123</v>
      </c>
      <c r="X113" s="84" t="s">
        <v>286</v>
      </c>
      <c r="Y113" s="84" t="s">
        <v>287</v>
      </c>
      <c r="Z113" s="84" t="s">
        <v>288</v>
      </c>
      <c r="AA113" s="84" t="s">
        <v>289</v>
      </c>
    </row>
    <row r="114" customFormat="false" ht="15" hidden="false" customHeight="false" outlineLevel="0" collapsed="false">
      <c r="B114" s="1" t="s">
        <v>900</v>
      </c>
      <c r="F114" s="55" t="s">
        <v>150</v>
      </c>
      <c r="H114" s="1" t="n">
        <v>2.29</v>
      </c>
      <c r="I114" s="1" t="n">
        <v>10.6</v>
      </c>
      <c r="J114" s="28" t="n">
        <f aca="false">H114*I114</f>
        <v>24.274</v>
      </c>
      <c r="S114" s="87" t="s">
        <v>290</v>
      </c>
    </row>
    <row r="115" customFormat="false" ht="15" hidden="false" customHeight="false" outlineLevel="0" collapsed="false">
      <c r="B115" s="1" t="s">
        <v>303</v>
      </c>
      <c r="F115" s="55" t="s">
        <v>204</v>
      </c>
      <c r="H115" s="1" t="n">
        <v>0.017</v>
      </c>
      <c r="I115" s="1" t="n">
        <v>70.92</v>
      </c>
      <c r="J115" s="28" t="n">
        <f aca="false">H115*I115</f>
        <v>1.20564</v>
      </c>
      <c r="S115" s="1" t="s">
        <v>651</v>
      </c>
      <c r="W115" s="55" t="s">
        <v>292</v>
      </c>
      <c r="X115" s="56" t="n">
        <v>0.1</v>
      </c>
      <c r="Y115" s="57" t="n">
        <f aca="false">X115*8/$U$112</f>
        <v>0.02</v>
      </c>
      <c r="Z115" s="28" t="n">
        <v>34.73</v>
      </c>
      <c r="AA115" s="28" t="n">
        <f aca="false">Y115*Z115</f>
        <v>0.6946</v>
      </c>
    </row>
    <row r="116" customFormat="false" ht="15" hidden="false" customHeight="false" outlineLevel="0" collapsed="false">
      <c r="B116" s="1" t="s">
        <v>309</v>
      </c>
      <c r="F116" s="55" t="s">
        <v>306</v>
      </c>
      <c r="H116" s="1" t="n">
        <v>5.075</v>
      </c>
      <c r="I116" s="1" t="n">
        <v>5.8</v>
      </c>
      <c r="J116" s="28" t="n">
        <f aca="false">H116*I116</f>
        <v>29.435</v>
      </c>
      <c r="S116" s="1" t="s">
        <v>291</v>
      </c>
      <c r="W116" s="55" t="s">
        <v>292</v>
      </c>
      <c r="X116" s="56" t="n">
        <v>1</v>
      </c>
      <c r="Y116" s="57" t="n">
        <f aca="false">X116*8/$U$112</f>
        <v>0.2</v>
      </c>
      <c r="Z116" s="28" t="n">
        <v>28.94</v>
      </c>
      <c r="AA116" s="28" t="n">
        <f aca="false">Y116*Z116</f>
        <v>5.788</v>
      </c>
    </row>
    <row r="117" customFormat="false" ht="15" hidden="false" customHeight="false" outlineLevel="0" collapsed="false">
      <c r="B117" s="1" t="s">
        <v>901</v>
      </c>
      <c r="F117" s="55" t="s">
        <v>306</v>
      </c>
      <c r="H117" s="1" t="n">
        <v>0.119</v>
      </c>
      <c r="I117" s="1" t="n">
        <v>17.48</v>
      </c>
      <c r="J117" s="28" t="n">
        <f aca="false">H117*I117</f>
        <v>2.08012</v>
      </c>
      <c r="S117" s="1" t="s">
        <v>680</v>
      </c>
      <c r="W117" s="55" t="s">
        <v>292</v>
      </c>
      <c r="X117" s="56" t="n">
        <v>1</v>
      </c>
      <c r="Y117" s="57" t="n">
        <f aca="false">X117*8/$U$112</f>
        <v>0.2</v>
      </c>
      <c r="Z117" s="28" t="n">
        <v>20.51</v>
      </c>
      <c r="AA117" s="28" t="n">
        <f aca="false">Y117*Z117</f>
        <v>4.102</v>
      </c>
    </row>
    <row r="118" customFormat="false" ht="15" hidden="false" customHeight="false" outlineLevel="0" collapsed="false">
      <c r="B118" s="1" t="s">
        <v>902</v>
      </c>
      <c r="F118" s="55" t="s">
        <v>903</v>
      </c>
      <c r="H118" s="1" t="n">
        <v>0.375</v>
      </c>
      <c r="I118" s="1" t="n">
        <v>35.9</v>
      </c>
      <c r="J118" s="28" t="n">
        <f aca="false">H118*I118</f>
        <v>13.4625</v>
      </c>
      <c r="W118" s="55"/>
      <c r="X118" s="56"/>
      <c r="AA118" s="124" t="n">
        <f aca="false">SUM(AA115:AA117)</f>
        <v>10.5846</v>
      </c>
    </row>
    <row r="119" customFormat="false" ht="15" hidden="false" customHeight="false" outlineLevel="0" collapsed="false">
      <c r="F119" s="55"/>
      <c r="H119" s="57"/>
      <c r="I119" s="28"/>
      <c r="J119" s="86" t="n">
        <f aca="false">SUM(J101:J109)</f>
        <v>42.70193</v>
      </c>
      <c r="S119" s="125" t="s">
        <v>295</v>
      </c>
      <c r="W119" s="55"/>
      <c r="X119" s="56"/>
      <c r="Y119" s="99"/>
    </row>
    <row r="120" customFormat="false" ht="15" hidden="false" customHeight="false" outlineLevel="0" collapsed="false">
      <c r="B120" s="87" t="s">
        <v>310</v>
      </c>
      <c r="S120" s="1" t="s">
        <v>904</v>
      </c>
      <c r="W120" s="1" t="s">
        <v>340</v>
      </c>
      <c r="X120" s="56"/>
      <c r="Y120" s="1" t="n">
        <v>0.0036</v>
      </c>
      <c r="Z120" s="1" t="n">
        <v>70</v>
      </c>
      <c r="AA120" s="28" t="n">
        <f aca="false">Y120*Z120</f>
        <v>0.252</v>
      </c>
    </row>
    <row r="121" customFormat="false" ht="15" hidden="false" customHeight="false" outlineLevel="0" collapsed="false">
      <c r="B121" s="1" t="s">
        <v>311</v>
      </c>
      <c r="F121" s="55" t="s">
        <v>312</v>
      </c>
      <c r="H121" s="57" t="n">
        <v>0.2</v>
      </c>
      <c r="I121" s="28" t="n">
        <f aca="false">J99</f>
        <v>257.012</v>
      </c>
      <c r="J121" s="28" t="n">
        <f aca="false">H121%*I121</f>
        <v>0.514024</v>
      </c>
      <c r="S121" s="1" t="s">
        <v>905</v>
      </c>
      <c r="W121" s="1" t="s">
        <v>331</v>
      </c>
      <c r="X121" s="56"/>
      <c r="Y121" s="1" t="n">
        <v>0.055</v>
      </c>
      <c r="Z121" s="1" t="n">
        <v>30</v>
      </c>
      <c r="AA121" s="28" t="n">
        <f aca="false">Y121*Z121</f>
        <v>1.65</v>
      </c>
    </row>
    <row r="122" customFormat="false" ht="15" hidden="false" customHeight="false" outlineLevel="0" collapsed="false">
      <c r="A122" s="60"/>
      <c r="B122" s="60"/>
      <c r="C122" s="60"/>
      <c r="D122" s="60"/>
      <c r="E122" s="60"/>
      <c r="F122" s="60"/>
      <c r="G122" s="60"/>
      <c r="H122" s="60"/>
      <c r="I122" s="60"/>
      <c r="J122" s="89" t="n">
        <f aca="false">SUM(J121:J121)</f>
        <v>0.514024</v>
      </c>
      <c r="S122" s="1" t="s">
        <v>906</v>
      </c>
      <c r="W122" s="1" t="s">
        <v>907</v>
      </c>
      <c r="X122" s="56"/>
      <c r="Y122" s="1" t="n">
        <v>0.365</v>
      </c>
      <c r="Z122" s="1" t="n">
        <v>27</v>
      </c>
      <c r="AA122" s="28" t="n">
        <f aca="false">Y122*Z122</f>
        <v>9.855</v>
      </c>
    </row>
    <row r="123" customFormat="false" ht="15" hidden="false" customHeight="false" outlineLevel="0" collapsed="false">
      <c r="S123" s="1" t="s">
        <v>908</v>
      </c>
      <c r="W123" s="1" t="s">
        <v>340</v>
      </c>
      <c r="Y123" s="1" t="n">
        <v>0.1</v>
      </c>
      <c r="Z123" s="1" t="n">
        <v>60</v>
      </c>
      <c r="AA123" s="28" t="n">
        <f aca="false">Y123*Z123</f>
        <v>6</v>
      </c>
    </row>
    <row r="124" customFormat="false" ht="15" hidden="false" customHeight="false" outlineLevel="0" collapsed="false">
      <c r="S124" s="1" t="s">
        <v>909</v>
      </c>
      <c r="W124" s="1" t="s">
        <v>145</v>
      </c>
      <c r="Y124" s="1" t="n">
        <v>1.05</v>
      </c>
      <c r="Z124" s="1" t="n">
        <v>25</v>
      </c>
      <c r="AA124" s="28" t="n">
        <f aca="false">Y124*Z124</f>
        <v>26.25</v>
      </c>
    </row>
    <row r="125" customFormat="false" ht="15" hidden="false" customHeight="false" outlineLevel="0" collapsed="false">
      <c r="AA125" s="124" t="n">
        <f aca="false">SUM(AA120:AA124)</f>
        <v>44.007</v>
      </c>
    </row>
    <row r="126" customFormat="false" ht="15" hidden="false" customHeight="false" outlineLevel="0" collapsed="false">
      <c r="A126" s="14" t="s">
        <v>278</v>
      </c>
      <c r="B126" s="82" t="str">
        <f aca="false">ARQUITECTURA!A11</f>
        <v>03.02.01.01</v>
      </c>
      <c r="C126" s="14" t="s">
        <v>910</v>
      </c>
      <c r="D126" s="14"/>
      <c r="S126" s="125" t="s">
        <v>318</v>
      </c>
      <c r="W126" s="55"/>
      <c r="X126" s="56"/>
    </row>
    <row r="127" customFormat="false" ht="15" hidden="false" customHeight="false" outlineLevel="0" collapsed="false">
      <c r="A127" s="14" t="s">
        <v>279</v>
      </c>
      <c r="B127" s="14" t="s">
        <v>280</v>
      </c>
      <c r="C127" s="36" t="s">
        <v>281</v>
      </c>
      <c r="D127" s="52" t="n">
        <v>15</v>
      </c>
      <c r="E127" s="36" t="s">
        <v>282</v>
      </c>
      <c r="F127" s="52" t="n">
        <f aca="false">D127</f>
        <v>15</v>
      </c>
      <c r="G127" s="14" t="s">
        <v>283</v>
      </c>
      <c r="I127" s="36" t="s">
        <v>134</v>
      </c>
      <c r="J127" s="53" t="n">
        <f aca="false">J133+J142+J145</f>
        <v>27.1229651333333</v>
      </c>
      <c r="S127" s="1" t="s">
        <v>311</v>
      </c>
      <c r="W127" s="55" t="s">
        <v>312</v>
      </c>
      <c r="Y127" s="57" t="n">
        <v>3</v>
      </c>
      <c r="Z127" s="28" t="n">
        <f aca="false">AA118</f>
        <v>10.5846</v>
      </c>
      <c r="AA127" s="28" t="n">
        <f aca="false">Y127%*Z127</f>
        <v>0.317538</v>
      </c>
    </row>
    <row r="128" customFormat="false" ht="15" hidden="false" customHeight="false" outlineLevel="0" collapsed="false">
      <c r="A128" s="14" t="s">
        <v>284</v>
      </c>
      <c r="B128" s="14" t="s">
        <v>285</v>
      </c>
      <c r="F128" s="36" t="s">
        <v>123</v>
      </c>
      <c r="G128" s="36" t="s">
        <v>286</v>
      </c>
      <c r="H128" s="36" t="s">
        <v>287</v>
      </c>
      <c r="I128" s="36" t="s">
        <v>288</v>
      </c>
      <c r="J128" s="36" t="s">
        <v>289</v>
      </c>
      <c r="R128" s="60"/>
      <c r="S128" s="60"/>
      <c r="T128" s="60"/>
      <c r="U128" s="60"/>
      <c r="V128" s="60"/>
      <c r="W128" s="60"/>
      <c r="X128" s="60"/>
      <c r="Y128" s="60"/>
      <c r="Z128" s="60"/>
      <c r="AA128" s="126" t="n">
        <f aca="false">SUM(AA127)</f>
        <v>0.317538</v>
      </c>
    </row>
    <row r="129" customFormat="false" ht="15" hidden="false" customHeight="false" outlineLevel="0" collapsed="false">
      <c r="B129" s="54" t="s">
        <v>290</v>
      </c>
    </row>
    <row r="130" customFormat="false" ht="15" hidden="false" customHeight="false" outlineLevel="0" collapsed="false">
      <c r="B130" s="1" t="s">
        <v>651</v>
      </c>
      <c r="F130" s="55" t="s">
        <v>292</v>
      </c>
      <c r="G130" s="56" t="n">
        <v>0.1</v>
      </c>
      <c r="H130" s="57" t="n">
        <f aca="false">G130*8/$D$127</f>
        <v>0.0533333333333333</v>
      </c>
      <c r="I130" s="28" t="n">
        <v>34.73</v>
      </c>
      <c r="J130" s="28" t="n">
        <f aca="false">H130*I130</f>
        <v>1.85226666666667</v>
      </c>
    </row>
    <row r="131" customFormat="false" ht="15" hidden="false" customHeight="false" outlineLevel="0" collapsed="false">
      <c r="B131" s="1" t="s">
        <v>291</v>
      </c>
      <c r="F131" s="55" t="s">
        <v>292</v>
      </c>
      <c r="G131" s="56" t="n">
        <v>1</v>
      </c>
      <c r="H131" s="57" t="n">
        <f aca="false">G131*8/$D$127</f>
        <v>0.533333333333333</v>
      </c>
      <c r="I131" s="28" t="n">
        <v>28.94</v>
      </c>
      <c r="J131" s="28" t="n">
        <f aca="false">H131*I131</f>
        <v>15.4346666666667</v>
      </c>
    </row>
    <row r="132" customFormat="false" ht="15" hidden="false" customHeight="false" outlineLevel="0" collapsed="false">
      <c r="B132" s="1" t="s">
        <v>294</v>
      </c>
      <c r="F132" s="55" t="s">
        <v>292</v>
      </c>
      <c r="G132" s="56" t="n">
        <v>0.33</v>
      </c>
      <c r="H132" s="57" t="n">
        <f aca="false">G132*8/$D$127</f>
        <v>0.176</v>
      </c>
      <c r="I132" s="1" t="n">
        <v>20.51</v>
      </c>
      <c r="J132" s="28" t="n">
        <f aca="false">H132*I132</f>
        <v>3.60976</v>
      </c>
    </row>
    <row r="133" customFormat="false" ht="15" hidden="false" customHeight="false" outlineLevel="0" collapsed="false">
      <c r="F133" s="55"/>
      <c r="G133" s="56"/>
      <c r="H133" s="57"/>
      <c r="J133" s="53" t="n">
        <f aca="false">SUM(J130:J132)</f>
        <v>20.8966933333333</v>
      </c>
    </row>
    <row r="134" customFormat="false" ht="15" hidden="false" customHeight="false" outlineLevel="0" collapsed="false">
      <c r="B134" s="54" t="s">
        <v>654</v>
      </c>
      <c r="F134" s="55"/>
      <c r="G134" s="56"/>
      <c r="H134" s="57"/>
      <c r="J134" s="28"/>
    </row>
    <row r="135" customFormat="false" ht="15" hidden="false" customHeight="false" outlineLevel="0" collapsed="false">
      <c r="B135" s="1" t="s">
        <v>896</v>
      </c>
      <c r="F135" s="55" t="s">
        <v>204</v>
      </c>
      <c r="H135" s="57" t="n">
        <v>0.0143</v>
      </c>
      <c r="I135" s="28" t="n">
        <v>50.85</v>
      </c>
      <c r="J135" s="28" t="n">
        <f aca="false">H135*I135</f>
        <v>0.727155</v>
      </c>
    </row>
    <row r="136" customFormat="false" ht="15" hidden="false" customHeight="false" outlineLevel="0" collapsed="false">
      <c r="B136" s="1" t="s">
        <v>911</v>
      </c>
      <c r="F136" s="55" t="s">
        <v>308</v>
      </c>
      <c r="H136" s="57" t="n">
        <v>0.0562</v>
      </c>
      <c r="I136" s="28" t="n">
        <v>24.52</v>
      </c>
      <c r="J136" s="28" t="n">
        <f aca="false">H136*I136</f>
        <v>1.378024</v>
      </c>
    </row>
    <row r="137" customFormat="false" ht="15" hidden="false" customHeight="false" outlineLevel="0" collapsed="false">
      <c r="B137" s="1" t="s">
        <v>912</v>
      </c>
      <c r="F137" s="55" t="s">
        <v>308</v>
      </c>
      <c r="H137" s="1" t="n">
        <v>0.0562</v>
      </c>
      <c r="I137" s="1" t="n">
        <v>38.9</v>
      </c>
      <c r="J137" s="28" t="n">
        <f aca="false">H137*I137</f>
        <v>2.18618</v>
      </c>
    </row>
    <row r="138" customFormat="false" ht="15" hidden="false" customHeight="false" outlineLevel="0" collapsed="false">
      <c r="B138" s="1" t="s">
        <v>913</v>
      </c>
      <c r="F138" s="55" t="s">
        <v>150</v>
      </c>
      <c r="H138" s="57" t="n">
        <v>0.025</v>
      </c>
      <c r="I138" s="1" t="n">
        <v>6.02</v>
      </c>
      <c r="J138" s="28" t="n">
        <f aca="false">H138*I138</f>
        <v>0.1505</v>
      </c>
    </row>
    <row r="139" customFormat="false" ht="15" hidden="false" customHeight="false" outlineLevel="0" collapsed="false">
      <c r="B139" s="1" t="s">
        <v>914</v>
      </c>
      <c r="F139" s="55" t="s">
        <v>306</v>
      </c>
      <c r="H139" s="1" t="n">
        <v>0.201</v>
      </c>
      <c r="I139" s="1" t="n">
        <v>5.6</v>
      </c>
      <c r="J139" s="28" t="n">
        <f aca="false">H139*I139</f>
        <v>1.1256</v>
      </c>
    </row>
    <row r="140" customFormat="false" ht="15" hidden="false" customHeight="false" outlineLevel="0" collapsed="false">
      <c r="B140" s="1" t="s">
        <v>915</v>
      </c>
      <c r="F140" s="55" t="s">
        <v>297</v>
      </c>
      <c r="H140" s="57" t="n">
        <v>0.001</v>
      </c>
      <c r="I140" s="28" t="n">
        <v>5.51</v>
      </c>
      <c r="J140" s="28" t="n">
        <f aca="false">H140*I140</f>
        <v>0.00551</v>
      </c>
    </row>
    <row r="141" customFormat="false" ht="15" hidden="false" customHeight="false" outlineLevel="0" collapsed="false">
      <c r="B141" s="1" t="s">
        <v>665</v>
      </c>
      <c r="F141" s="55" t="s">
        <v>204</v>
      </c>
      <c r="H141" s="57" t="n">
        <v>0.0043</v>
      </c>
      <c r="I141" s="28" t="n">
        <v>6.14</v>
      </c>
      <c r="J141" s="28" t="n">
        <f aca="false">H141*I141</f>
        <v>0.026402</v>
      </c>
    </row>
    <row r="142" customFormat="false" ht="15" hidden="false" customHeight="false" outlineLevel="0" collapsed="false">
      <c r="F142" s="55"/>
      <c r="H142" s="57"/>
      <c r="I142" s="28"/>
      <c r="J142" s="53" t="n">
        <f aca="false">SUM(J135:J141)</f>
        <v>5.599371</v>
      </c>
    </row>
    <row r="143" customFormat="false" ht="15" hidden="false" customHeight="false" outlineLevel="0" collapsed="false">
      <c r="B143" s="54" t="s">
        <v>310</v>
      </c>
    </row>
    <row r="144" customFormat="false" ht="15" hidden="false" customHeight="false" outlineLevel="0" collapsed="false">
      <c r="B144" s="1" t="s">
        <v>311</v>
      </c>
      <c r="F144" s="55" t="s">
        <v>312</v>
      </c>
      <c r="H144" s="57" t="n">
        <v>3</v>
      </c>
      <c r="I144" s="28" t="n">
        <f aca="false">J133</f>
        <v>20.8966933333333</v>
      </c>
      <c r="J144" s="28" t="n">
        <f aca="false">H144%*I144</f>
        <v>0.6269008</v>
      </c>
    </row>
    <row r="145" customFormat="false" ht="15" hidden="false" customHeight="false" outlineLevel="0" collapsed="false">
      <c r="A145" s="60"/>
      <c r="B145" s="60"/>
      <c r="C145" s="60"/>
      <c r="D145" s="60"/>
      <c r="E145" s="60"/>
      <c r="F145" s="60"/>
      <c r="G145" s="60"/>
      <c r="H145" s="60"/>
      <c r="I145" s="80"/>
      <c r="J145" s="61" t="n">
        <f aca="false">SUM(J144:J144)</f>
        <v>0.6269008</v>
      </c>
    </row>
    <row r="147" customFormat="false" ht="15" hidden="false" customHeight="false" outlineLevel="0" collapsed="false">
      <c r="A147" s="14" t="s">
        <v>278</v>
      </c>
      <c r="B147" s="82" t="str">
        <f aca="false">ARQUITECTURA!A12</f>
        <v>03.02.01.02</v>
      </c>
      <c r="C147" s="14" t="s">
        <v>772</v>
      </c>
      <c r="D147" s="14"/>
      <c r="M147" s="82"/>
    </row>
    <row r="148" customFormat="false" ht="15" hidden="false" customHeight="false" outlineLevel="0" collapsed="false">
      <c r="A148" s="14" t="s">
        <v>279</v>
      </c>
      <c r="B148" s="14" t="s">
        <v>280</v>
      </c>
      <c r="C148" s="36" t="s">
        <v>281</v>
      </c>
      <c r="D148" s="52" t="n">
        <v>12</v>
      </c>
      <c r="E148" s="36" t="s">
        <v>282</v>
      </c>
      <c r="F148" s="52" t="n">
        <f aca="false">D148</f>
        <v>12</v>
      </c>
      <c r="G148" s="14" t="s">
        <v>283</v>
      </c>
      <c r="I148" s="36" t="s">
        <v>134</v>
      </c>
      <c r="J148" s="53" t="n">
        <f aca="false">J154+J162+J165</f>
        <v>35.8409626666667</v>
      </c>
      <c r="M148" s="82"/>
    </row>
    <row r="149" customFormat="false" ht="15" hidden="false" customHeight="false" outlineLevel="0" collapsed="false">
      <c r="A149" s="14" t="s">
        <v>284</v>
      </c>
      <c r="B149" s="14" t="s">
        <v>285</v>
      </c>
      <c r="F149" s="36" t="s">
        <v>123</v>
      </c>
      <c r="G149" s="36" t="s">
        <v>286</v>
      </c>
      <c r="H149" s="36" t="s">
        <v>287</v>
      </c>
      <c r="I149" s="36" t="s">
        <v>288</v>
      </c>
      <c r="J149" s="36" t="s">
        <v>289</v>
      </c>
      <c r="L149" s="82"/>
      <c r="M149" s="82"/>
    </row>
    <row r="150" customFormat="false" ht="15" hidden="false" customHeight="false" outlineLevel="0" collapsed="false">
      <c r="B150" s="54" t="s">
        <v>290</v>
      </c>
      <c r="M150" s="82"/>
    </row>
    <row r="151" customFormat="false" ht="15" hidden="false" customHeight="false" outlineLevel="0" collapsed="false">
      <c r="B151" s="1" t="s">
        <v>651</v>
      </c>
      <c r="F151" s="55" t="s">
        <v>292</v>
      </c>
      <c r="G151" s="56" t="n">
        <v>0.1</v>
      </c>
      <c r="H151" s="57" t="n">
        <f aca="false">G151*8/$D$148</f>
        <v>0.0666666666666667</v>
      </c>
      <c r="I151" s="28" t="n">
        <v>34.73</v>
      </c>
      <c r="J151" s="28" t="n">
        <f aca="false">H151*I151</f>
        <v>2.31533333333333</v>
      </c>
      <c r="M151" s="82"/>
    </row>
    <row r="152" customFormat="false" ht="15" hidden="false" customHeight="false" outlineLevel="0" collapsed="false">
      <c r="B152" s="1" t="s">
        <v>291</v>
      </c>
      <c r="F152" s="55" t="s">
        <v>292</v>
      </c>
      <c r="G152" s="56" t="n">
        <v>1</v>
      </c>
      <c r="H152" s="57" t="n">
        <f aca="false">G152*8/$D$148</f>
        <v>0.666666666666667</v>
      </c>
      <c r="I152" s="28" t="n">
        <v>28.94</v>
      </c>
      <c r="J152" s="28" t="n">
        <f aca="false">H152*I152</f>
        <v>19.2933333333333</v>
      </c>
      <c r="L152" s="82"/>
      <c r="M152" s="82"/>
    </row>
    <row r="153" customFormat="false" ht="15" hidden="false" customHeight="false" outlineLevel="0" collapsed="false">
      <c r="B153" s="1" t="s">
        <v>294</v>
      </c>
      <c r="F153" s="55" t="s">
        <v>292</v>
      </c>
      <c r="G153" s="56" t="n">
        <v>0.33</v>
      </c>
      <c r="H153" s="57" t="n">
        <f aca="false">G153*8/$D$148</f>
        <v>0.22</v>
      </c>
      <c r="I153" s="1" t="n">
        <v>20.51</v>
      </c>
      <c r="J153" s="28" t="n">
        <f aca="false">H153*I153</f>
        <v>4.5122</v>
      </c>
    </row>
    <row r="154" customFormat="false" ht="15" hidden="false" customHeight="false" outlineLevel="0" collapsed="false">
      <c r="F154" s="55"/>
      <c r="G154" s="56"/>
      <c r="H154" s="57"/>
      <c r="J154" s="53" t="n">
        <f aca="false">SUM(J151:J153)</f>
        <v>26.1208666666667</v>
      </c>
    </row>
    <row r="155" customFormat="false" ht="15" hidden="false" customHeight="false" outlineLevel="0" collapsed="false">
      <c r="B155" s="54" t="s">
        <v>654</v>
      </c>
      <c r="F155" s="55"/>
      <c r="G155" s="56"/>
      <c r="H155" s="57"/>
      <c r="J155" s="28"/>
    </row>
    <row r="156" customFormat="false" ht="15" hidden="false" customHeight="false" outlineLevel="0" collapsed="false">
      <c r="B156" s="1" t="s">
        <v>896</v>
      </c>
      <c r="F156" s="55" t="s">
        <v>204</v>
      </c>
      <c r="H156" s="57" t="n">
        <v>0.0182</v>
      </c>
      <c r="I156" s="28" t="n">
        <v>50.85</v>
      </c>
      <c r="J156" s="28" t="n">
        <f aca="false">H156*I156</f>
        <v>0.92547</v>
      </c>
    </row>
    <row r="157" customFormat="false" ht="15" hidden="false" customHeight="false" outlineLevel="0" collapsed="false">
      <c r="B157" s="1" t="s">
        <v>911</v>
      </c>
      <c r="F157" s="55" t="s">
        <v>308</v>
      </c>
      <c r="H157" s="57" t="n">
        <v>0.119</v>
      </c>
      <c r="I157" s="28" t="n">
        <v>24.52</v>
      </c>
      <c r="J157" s="28" t="n">
        <f aca="false">H157*I157</f>
        <v>2.91788</v>
      </c>
    </row>
    <row r="158" customFormat="false" ht="15" hidden="false" customHeight="false" outlineLevel="0" collapsed="false">
      <c r="B158" s="1" t="s">
        <v>913</v>
      </c>
      <c r="F158" s="55" t="s">
        <v>150</v>
      </c>
      <c r="H158" s="57" t="n">
        <v>0.025</v>
      </c>
      <c r="I158" s="1" t="n">
        <v>6.02</v>
      </c>
      <c r="J158" s="28" t="n">
        <f aca="false">H158*I158</f>
        <v>0.1505</v>
      </c>
    </row>
    <row r="159" customFormat="false" ht="15" hidden="false" customHeight="false" outlineLevel="0" collapsed="false">
      <c r="B159" s="1" t="s">
        <v>914</v>
      </c>
      <c r="F159" s="55" t="s">
        <v>306</v>
      </c>
      <c r="H159" s="1" t="n">
        <v>0.85</v>
      </c>
      <c r="I159" s="1" t="n">
        <v>5.6</v>
      </c>
      <c r="J159" s="28" t="n">
        <f aca="false">H159*I159</f>
        <v>4.76</v>
      </c>
    </row>
    <row r="160" customFormat="false" ht="15" hidden="false" customHeight="false" outlineLevel="0" collapsed="false">
      <c r="B160" s="1" t="s">
        <v>915</v>
      </c>
      <c r="F160" s="55" t="s">
        <v>297</v>
      </c>
      <c r="H160" s="57" t="n">
        <v>0.022</v>
      </c>
      <c r="I160" s="28" t="n">
        <v>5.51</v>
      </c>
      <c r="J160" s="28" t="n">
        <f aca="false">H160*I160</f>
        <v>0.12122</v>
      </c>
    </row>
    <row r="161" customFormat="false" ht="15" hidden="false" customHeight="false" outlineLevel="0" collapsed="false">
      <c r="B161" s="1" t="s">
        <v>665</v>
      </c>
      <c r="F161" s="55" t="s">
        <v>204</v>
      </c>
      <c r="H161" s="57" t="n">
        <v>0.01</v>
      </c>
      <c r="I161" s="28" t="n">
        <v>6.14</v>
      </c>
      <c r="J161" s="28" t="n">
        <f aca="false">H161*I161</f>
        <v>0.0614</v>
      </c>
    </row>
    <row r="162" customFormat="false" ht="15" hidden="false" customHeight="false" outlineLevel="0" collapsed="false">
      <c r="F162" s="55"/>
      <c r="H162" s="57"/>
      <c r="I162" s="28"/>
      <c r="J162" s="53" t="n">
        <f aca="false">SUM(J156:J161)</f>
        <v>8.93647</v>
      </c>
    </row>
    <row r="163" customFormat="false" ht="15" hidden="false" customHeight="false" outlineLevel="0" collapsed="false">
      <c r="B163" s="54" t="s">
        <v>310</v>
      </c>
    </row>
    <row r="164" customFormat="false" ht="15" hidden="false" customHeight="true" outlineLevel="0" collapsed="false">
      <c r="B164" s="1" t="s">
        <v>311</v>
      </c>
      <c r="F164" s="55" t="s">
        <v>312</v>
      </c>
      <c r="H164" s="57" t="n">
        <v>3</v>
      </c>
      <c r="I164" s="28" t="n">
        <f aca="false">J154</f>
        <v>26.1208666666667</v>
      </c>
      <c r="J164" s="28" t="n">
        <f aca="false">H164%*I164</f>
        <v>0.783626</v>
      </c>
    </row>
    <row r="165" customFormat="false" ht="15" hidden="false" customHeight="false" outlineLevel="0" collapsed="false">
      <c r="A165" s="60"/>
      <c r="B165" s="60"/>
      <c r="C165" s="60"/>
      <c r="D165" s="60"/>
      <c r="E165" s="60"/>
      <c r="F165" s="60"/>
      <c r="G165" s="60"/>
      <c r="H165" s="60"/>
      <c r="I165" s="80"/>
      <c r="J165" s="61" t="n">
        <f aca="false">SUM(J164:J164)</f>
        <v>0.783626</v>
      </c>
    </row>
    <row r="166" customFormat="false" ht="15" hidden="false" customHeight="false" outlineLevel="0" collapsed="false">
      <c r="I166" s="14"/>
      <c r="J166" s="53"/>
    </row>
    <row r="167" customFormat="false" ht="15" hidden="false" customHeight="false" outlineLevel="0" collapsed="false">
      <c r="A167" s="14" t="s">
        <v>278</v>
      </c>
      <c r="B167" s="82" t="str">
        <f aca="false">ARQUITECTURA!A14</f>
        <v>03.02.02.01</v>
      </c>
      <c r="C167" s="14" t="s">
        <v>776</v>
      </c>
      <c r="D167" s="14"/>
    </row>
    <row r="168" customFormat="false" ht="15" hidden="false" customHeight="false" outlineLevel="0" collapsed="false">
      <c r="A168" s="14" t="s">
        <v>279</v>
      </c>
      <c r="B168" s="14" t="s">
        <v>280</v>
      </c>
      <c r="C168" s="36" t="s">
        <v>281</v>
      </c>
      <c r="D168" s="52" t="n">
        <v>8</v>
      </c>
      <c r="E168" s="36" t="s">
        <v>282</v>
      </c>
      <c r="F168" s="52" t="n">
        <f aca="false">D168</f>
        <v>8</v>
      </c>
      <c r="G168" s="14" t="s">
        <v>283</v>
      </c>
      <c r="I168" s="36" t="s">
        <v>134</v>
      </c>
      <c r="J168" s="53" t="n">
        <f aca="false">J174+J182+J185</f>
        <v>90.82588</v>
      </c>
    </row>
    <row r="169" customFormat="false" ht="15" hidden="false" customHeight="false" outlineLevel="0" collapsed="false">
      <c r="A169" s="14" t="s">
        <v>284</v>
      </c>
      <c r="B169" s="14" t="s">
        <v>285</v>
      </c>
      <c r="F169" s="36" t="s">
        <v>123</v>
      </c>
      <c r="G169" s="36" t="s">
        <v>286</v>
      </c>
      <c r="H169" s="36" t="s">
        <v>287</v>
      </c>
      <c r="I169" s="36" t="s">
        <v>288</v>
      </c>
      <c r="J169" s="36" t="s">
        <v>289</v>
      </c>
    </row>
    <row r="170" customFormat="false" ht="15" hidden="false" customHeight="false" outlineLevel="0" collapsed="false">
      <c r="B170" s="54" t="s">
        <v>290</v>
      </c>
    </row>
    <row r="171" customFormat="false" ht="15" hidden="false" customHeight="false" outlineLevel="0" collapsed="false">
      <c r="B171" s="1" t="s">
        <v>651</v>
      </c>
      <c r="F171" s="55" t="s">
        <v>292</v>
      </c>
      <c r="G171" s="56" t="n">
        <v>0.1</v>
      </c>
      <c r="H171" s="57" t="n">
        <f aca="false">G171*8/$D$168</f>
        <v>0.1</v>
      </c>
      <c r="I171" s="28" t="n">
        <v>34.73</v>
      </c>
      <c r="J171" s="28" t="n">
        <f aca="false">H171*I171</f>
        <v>3.473</v>
      </c>
    </row>
    <row r="172" customFormat="false" ht="15" hidden="false" customHeight="false" outlineLevel="0" collapsed="false">
      <c r="B172" s="1" t="s">
        <v>291</v>
      </c>
      <c r="F172" s="55" t="s">
        <v>292</v>
      </c>
      <c r="G172" s="56" t="n">
        <v>1</v>
      </c>
      <c r="H172" s="57" t="n">
        <f aca="false">G172*8/$D$168</f>
        <v>1</v>
      </c>
      <c r="I172" s="28" t="n">
        <v>28.94</v>
      </c>
      <c r="J172" s="28" t="n">
        <f aca="false">H172*I172</f>
        <v>28.94</v>
      </c>
    </row>
    <row r="173" customFormat="false" ht="15" hidden="false" customHeight="false" outlineLevel="0" collapsed="false">
      <c r="B173" s="1" t="s">
        <v>294</v>
      </c>
      <c r="F173" s="55" t="s">
        <v>292</v>
      </c>
      <c r="G173" s="56" t="n">
        <v>0.5</v>
      </c>
      <c r="H173" s="57" t="n">
        <f aca="false">G173*8/$D$168</f>
        <v>0.5</v>
      </c>
      <c r="I173" s="1" t="n">
        <v>20.51</v>
      </c>
      <c r="J173" s="28" t="n">
        <f aca="false">H173*I173</f>
        <v>10.255</v>
      </c>
    </row>
    <row r="174" customFormat="false" ht="15" hidden="false" customHeight="false" outlineLevel="0" collapsed="false">
      <c r="F174" s="55"/>
      <c r="G174" s="56"/>
      <c r="H174" s="57"/>
      <c r="J174" s="53" t="n">
        <f aca="false">SUM(J171:J173)</f>
        <v>42.668</v>
      </c>
    </row>
    <row r="175" customFormat="false" ht="15" hidden="false" customHeight="false" outlineLevel="0" collapsed="false">
      <c r="B175" s="54" t="s">
        <v>654</v>
      </c>
      <c r="F175" s="55"/>
      <c r="G175" s="56"/>
      <c r="H175" s="57"/>
      <c r="J175" s="28"/>
      <c r="S175" s="127"/>
      <c r="T175" s="128"/>
      <c r="U175" s="129"/>
      <c r="V175" s="130"/>
    </row>
    <row r="176" customFormat="false" ht="15" hidden="false" customHeight="false" outlineLevel="0" collapsed="false">
      <c r="B176" s="1" t="s">
        <v>916</v>
      </c>
      <c r="F176" s="55" t="s">
        <v>297</v>
      </c>
      <c r="H176" s="57" t="n">
        <v>0.63</v>
      </c>
      <c r="I176" s="57" t="n">
        <v>7.4</v>
      </c>
      <c r="J176" s="28" t="n">
        <f aca="false">H176*I176</f>
        <v>4.662</v>
      </c>
      <c r="S176" s="127"/>
      <c r="T176" s="128"/>
      <c r="U176" s="129"/>
      <c r="V176" s="130"/>
    </row>
    <row r="177" customFormat="false" ht="135.8" hidden="false" customHeight="false" outlineLevel="0" collapsed="false">
      <c r="B177" s="131" t="s">
        <v>917</v>
      </c>
      <c r="F177" s="55" t="s">
        <v>308</v>
      </c>
      <c r="H177" s="1" t="n">
        <v>0.336</v>
      </c>
      <c r="I177" s="57" t="n">
        <v>28.25</v>
      </c>
      <c r="J177" s="28" t="n">
        <f aca="false">H177*I177</f>
        <v>9.492</v>
      </c>
      <c r="S177" s="127"/>
      <c r="T177" s="128"/>
      <c r="U177" s="129"/>
      <c r="V177" s="130"/>
    </row>
    <row r="178" customFormat="false" ht="15" hidden="false" customHeight="false" outlineLevel="0" collapsed="false">
      <c r="B178" s="1" t="s">
        <v>918</v>
      </c>
      <c r="F178" s="55" t="s">
        <v>134</v>
      </c>
      <c r="H178" s="57" t="n">
        <v>1.15</v>
      </c>
      <c r="I178" s="57" t="n">
        <v>24.9</v>
      </c>
      <c r="J178" s="28" t="n">
        <f aca="false">H178*I178</f>
        <v>28.635</v>
      </c>
      <c r="S178" s="127"/>
      <c r="T178" s="128"/>
      <c r="U178" s="129"/>
      <c r="V178" s="130"/>
    </row>
    <row r="179" customFormat="false" ht="15" hidden="false" customHeight="true" outlineLevel="0" collapsed="false">
      <c r="B179" s="1" t="s">
        <v>919</v>
      </c>
      <c r="F179" s="55" t="s">
        <v>308</v>
      </c>
      <c r="H179" s="57" t="n">
        <v>0.2</v>
      </c>
      <c r="I179" s="57" t="n">
        <v>8.5</v>
      </c>
      <c r="J179" s="28" t="n">
        <f aca="false">H179*I179</f>
        <v>1.7</v>
      </c>
      <c r="S179" s="127"/>
      <c r="T179" s="128"/>
      <c r="U179" s="129"/>
      <c r="V179" s="130"/>
    </row>
    <row r="180" customFormat="false" ht="15" hidden="false" customHeight="false" outlineLevel="0" collapsed="false">
      <c r="B180" s="1" t="s">
        <v>920</v>
      </c>
      <c r="F180" s="1" t="s">
        <v>150</v>
      </c>
      <c r="H180" s="1" t="n">
        <v>0.021</v>
      </c>
      <c r="I180" s="57" t="n">
        <v>112</v>
      </c>
      <c r="J180" s="28" t="n">
        <f aca="false">H180*I180</f>
        <v>2.352</v>
      </c>
      <c r="S180" s="127"/>
      <c r="T180" s="128"/>
      <c r="U180" s="129"/>
      <c r="V180" s="130"/>
    </row>
    <row r="181" customFormat="false" ht="15" hidden="false" customHeight="false" outlineLevel="0" collapsed="false">
      <c r="B181" s="1" t="s">
        <v>665</v>
      </c>
      <c r="F181" s="55" t="s">
        <v>204</v>
      </c>
      <c r="H181" s="57" t="n">
        <v>0.006</v>
      </c>
      <c r="I181" s="57" t="n">
        <v>6.14</v>
      </c>
      <c r="J181" s="28" t="n">
        <f aca="false">H181*I181</f>
        <v>0.03684</v>
      </c>
    </row>
    <row r="182" customFormat="false" ht="15" hidden="false" customHeight="false" outlineLevel="0" collapsed="false">
      <c r="F182" s="55"/>
      <c r="H182" s="57"/>
      <c r="I182" s="28"/>
      <c r="J182" s="53" t="n">
        <f aca="false">SUM(J176:J181)</f>
        <v>46.87784</v>
      </c>
    </row>
    <row r="183" customFormat="false" ht="15" hidden="false" customHeight="false" outlineLevel="0" collapsed="false">
      <c r="B183" s="54" t="s">
        <v>310</v>
      </c>
    </row>
    <row r="184" customFormat="false" ht="15" hidden="false" customHeight="false" outlineLevel="0" collapsed="false">
      <c r="B184" s="1" t="s">
        <v>311</v>
      </c>
      <c r="F184" s="55" t="s">
        <v>312</v>
      </c>
      <c r="H184" s="57" t="n">
        <v>3</v>
      </c>
      <c r="I184" s="28" t="n">
        <f aca="false">J174</f>
        <v>42.668</v>
      </c>
      <c r="J184" s="28" t="n">
        <f aca="false">H184%*I184</f>
        <v>1.28004</v>
      </c>
    </row>
    <row r="185" customFormat="false" ht="15" hidden="false" customHeight="false" outlineLevel="0" collapsed="false">
      <c r="A185" s="60"/>
      <c r="B185" s="60"/>
      <c r="C185" s="60"/>
      <c r="D185" s="60"/>
      <c r="E185" s="60"/>
      <c r="F185" s="60"/>
      <c r="G185" s="60"/>
      <c r="H185" s="60"/>
      <c r="I185" s="80"/>
      <c r="J185" s="61" t="n">
        <f aca="false">SUM(J184)</f>
        <v>1.28004</v>
      </c>
    </row>
    <row r="187" customFormat="false" ht="15" hidden="false" customHeight="false" outlineLevel="0" collapsed="false">
      <c r="A187" s="14" t="s">
        <v>278</v>
      </c>
      <c r="B187" s="82" t="str">
        <f aca="false">ARQUITECTURA!A16</f>
        <v>03.02.03.01</v>
      </c>
      <c r="C187" s="14" t="s">
        <v>921</v>
      </c>
      <c r="D187" s="14"/>
    </row>
    <row r="188" customFormat="false" ht="15" hidden="false" customHeight="false" outlineLevel="0" collapsed="false">
      <c r="A188" s="14" t="s">
        <v>279</v>
      </c>
      <c r="B188" s="14" t="s">
        <v>280</v>
      </c>
      <c r="C188" s="36" t="s">
        <v>281</v>
      </c>
      <c r="D188" s="52" t="n">
        <v>15</v>
      </c>
      <c r="E188" s="36" t="s">
        <v>282</v>
      </c>
      <c r="F188" s="52" t="n">
        <f aca="false">D188</f>
        <v>15</v>
      </c>
      <c r="G188" s="14" t="s">
        <v>283</v>
      </c>
      <c r="I188" s="36" t="s">
        <v>134</v>
      </c>
      <c r="J188" s="53" t="n">
        <f aca="false">J196+J205+J209</f>
        <v>212.282155333333</v>
      </c>
    </row>
    <row r="189" customFormat="false" ht="15" hidden="false" customHeight="false" outlineLevel="0" collapsed="false">
      <c r="A189" s="14" t="s">
        <v>284</v>
      </c>
      <c r="B189" s="14" t="s">
        <v>285</v>
      </c>
      <c r="F189" s="36" t="s">
        <v>123</v>
      </c>
      <c r="G189" s="36" t="s">
        <v>286</v>
      </c>
      <c r="H189" s="36" t="s">
        <v>287</v>
      </c>
      <c r="I189" s="36" t="s">
        <v>288</v>
      </c>
      <c r="J189" s="36" t="s">
        <v>289</v>
      </c>
    </row>
    <row r="190" customFormat="false" ht="15" hidden="false" customHeight="false" outlineLevel="0" collapsed="false">
      <c r="B190" s="54" t="s">
        <v>290</v>
      </c>
    </row>
    <row r="191" customFormat="false" ht="15" hidden="false" customHeight="false" outlineLevel="0" collapsed="false">
      <c r="F191" s="55"/>
      <c r="G191" s="56"/>
      <c r="H191" s="57"/>
      <c r="I191" s="47"/>
      <c r="J191" s="28"/>
    </row>
    <row r="192" customFormat="false" ht="15" hidden="false" customHeight="false" outlineLevel="0" collapsed="false">
      <c r="B192" s="1" t="s">
        <v>651</v>
      </c>
      <c r="F192" s="55" t="s">
        <v>292</v>
      </c>
      <c r="G192" s="56" t="n">
        <v>0.1</v>
      </c>
      <c r="H192" s="57" t="n">
        <f aca="false">G192*8/$D$188</f>
        <v>0.0533333333333333</v>
      </c>
      <c r="I192" s="28" t="n">
        <v>34.73</v>
      </c>
      <c r="J192" s="28" t="n">
        <f aca="false">H192*I192</f>
        <v>1.85226666666667</v>
      </c>
    </row>
    <row r="193" customFormat="false" ht="15" hidden="false" customHeight="false" outlineLevel="0" collapsed="false">
      <c r="B193" s="1" t="s">
        <v>291</v>
      </c>
      <c r="F193" s="55" t="s">
        <v>292</v>
      </c>
      <c r="G193" s="56" t="n">
        <v>1</v>
      </c>
      <c r="H193" s="57" t="n">
        <f aca="false">G193*8/$D$188</f>
        <v>0.533333333333333</v>
      </c>
      <c r="I193" s="28" t="n">
        <v>28.94</v>
      </c>
      <c r="J193" s="28" t="n">
        <f aca="false">H193*I193</f>
        <v>15.4346666666667</v>
      </c>
    </row>
    <row r="194" customFormat="false" ht="15" hidden="false" customHeight="false" outlineLevel="0" collapsed="false">
      <c r="B194" s="1" t="s">
        <v>680</v>
      </c>
      <c r="F194" s="55" t="s">
        <v>292</v>
      </c>
      <c r="G194" s="56" t="n">
        <v>1</v>
      </c>
      <c r="H194" s="57" t="n">
        <f aca="false">G194*8/$D$188</f>
        <v>0.533333333333333</v>
      </c>
      <c r="I194" s="28" t="n">
        <v>22.66</v>
      </c>
      <c r="J194" s="28" t="n">
        <f aca="false">H194*I194</f>
        <v>12.0853333333333</v>
      </c>
    </row>
    <row r="195" customFormat="false" ht="15" hidden="false" customHeight="false" outlineLevel="0" collapsed="false">
      <c r="B195" s="1" t="s">
        <v>294</v>
      </c>
      <c r="F195" s="55" t="s">
        <v>292</v>
      </c>
      <c r="G195" s="56" t="n">
        <v>1</v>
      </c>
      <c r="H195" s="57" t="n">
        <f aca="false">G195*8/$D$188</f>
        <v>0.533333333333333</v>
      </c>
      <c r="I195" s="28" t="n">
        <v>20.51</v>
      </c>
      <c r="J195" s="28" t="n">
        <f aca="false">H195*I195</f>
        <v>10.9386666666667</v>
      </c>
    </row>
    <row r="196" customFormat="false" ht="15" hidden="false" customHeight="false" outlineLevel="0" collapsed="false">
      <c r="F196" s="55"/>
      <c r="J196" s="53" t="n">
        <f aca="false">SUM(J191:J195)</f>
        <v>40.3109333333333</v>
      </c>
    </row>
    <row r="197" customFormat="false" ht="15" hidden="false" customHeight="false" outlineLevel="0" collapsed="false">
      <c r="B197" s="54" t="s">
        <v>654</v>
      </c>
    </row>
    <row r="198" customFormat="false" ht="15" hidden="false" customHeight="false" outlineLevel="0" collapsed="false">
      <c r="B198" s="1" t="s">
        <v>922</v>
      </c>
      <c r="F198" s="55" t="s">
        <v>297</v>
      </c>
      <c r="H198" s="1" t="n">
        <v>0.046</v>
      </c>
      <c r="I198" s="1" t="n">
        <v>0.37</v>
      </c>
      <c r="J198" s="28" t="n">
        <f aca="false">H198*I198</f>
        <v>0.01702</v>
      </c>
    </row>
    <row r="199" customFormat="false" ht="15" hidden="false" customHeight="false" outlineLevel="0" collapsed="false">
      <c r="B199" s="1" t="s">
        <v>923</v>
      </c>
      <c r="F199" s="55" t="s">
        <v>331</v>
      </c>
      <c r="H199" s="1" t="n">
        <v>0.3577</v>
      </c>
      <c r="I199" s="1" t="n">
        <v>5.59</v>
      </c>
      <c r="J199" s="28" t="n">
        <f aca="false">H199*I199</f>
        <v>1.999543</v>
      </c>
    </row>
    <row r="200" customFormat="false" ht="15" hidden="false" customHeight="false" outlineLevel="0" collapsed="false">
      <c r="B200" s="1" t="s">
        <v>924</v>
      </c>
      <c r="F200" s="55" t="s">
        <v>331</v>
      </c>
      <c r="H200" s="1" t="n">
        <v>1.4583</v>
      </c>
      <c r="I200" s="1" t="n">
        <v>1.27</v>
      </c>
      <c r="J200" s="28" t="n">
        <f aca="false">H200*I200</f>
        <v>1.852041</v>
      </c>
    </row>
    <row r="201" customFormat="false" ht="15" hidden="false" customHeight="false" outlineLevel="0" collapsed="false">
      <c r="B201" s="1" t="s">
        <v>925</v>
      </c>
      <c r="F201" s="55" t="s">
        <v>331</v>
      </c>
      <c r="H201" s="1" t="n">
        <v>1.4583</v>
      </c>
      <c r="I201" s="1" t="n">
        <v>2.54</v>
      </c>
      <c r="J201" s="28" t="n">
        <f aca="false">H201*I201</f>
        <v>3.704082</v>
      </c>
    </row>
    <row r="202" customFormat="false" ht="15" hidden="false" customHeight="false" outlineLevel="0" collapsed="false">
      <c r="B202" s="1" t="s">
        <v>926</v>
      </c>
      <c r="F202" s="55" t="s">
        <v>331</v>
      </c>
      <c r="H202" s="1" t="n">
        <v>0.2917</v>
      </c>
      <c r="I202" s="1" t="n">
        <v>9.32</v>
      </c>
      <c r="J202" s="28" t="n">
        <f aca="false">H202*I202</f>
        <v>2.718644</v>
      </c>
    </row>
    <row r="203" customFormat="false" ht="15" hidden="false" customHeight="false" outlineLevel="0" collapsed="false">
      <c r="B203" s="1" t="s">
        <v>927</v>
      </c>
      <c r="F203" s="55" t="s">
        <v>150</v>
      </c>
      <c r="H203" s="1" t="n">
        <v>1.6458</v>
      </c>
      <c r="I203" s="1" t="n">
        <v>0.58</v>
      </c>
      <c r="J203" s="28" t="n">
        <f aca="false">H203*I203</f>
        <v>0.954564</v>
      </c>
    </row>
    <row r="204" customFormat="false" ht="15" hidden="false" customHeight="false" outlineLevel="0" collapsed="false">
      <c r="B204" s="1" t="s">
        <v>928</v>
      </c>
      <c r="F204" s="55" t="s">
        <v>134</v>
      </c>
      <c r="H204" s="1" t="n">
        <v>1.05</v>
      </c>
      <c r="I204" s="1" t="n">
        <v>150</v>
      </c>
      <c r="J204" s="28" t="n">
        <f aca="false">H204*I204</f>
        <v>157.5</v>
      </c>
    </row>
    <row r="205" customFormat="false" ht="15" hidden="false" customHeight="false" outlineLevel="0" collapsed="false">
      <c r="H205" s="57"/>
      <c r="I205" s="28"/>
      <c r="J205" s="53" t="n">
        <f aca="false">SUM(J198:J204)</f>
        <v>168.745894</v>
      </c>
    </row>
    <row r="206" customFormat="false" ht="15" hidden="false" customHeight="false" outlineLevel="0" collapsed="false">
      <c r="B206" s="54" t="s">
        <v>310</v>
      </c>
    </row>
    <row r="207" customFormat="false" ht="15" hidden="false" customHeight="false" outlineLevel="0" collapsed="false">
      <c r="B207" s="1" t="s">
        <v>929</v>
      </c>
      <c r="F207" s="55" t="s">
        <v>338</v>
      </c>
      <c r="G207" s="56" t="n">
        <v>1</v>
      </c>
      <c r="H207" s="57" t="n">
        <f aca="false">G207*8/$D$188</f>
        <v>0.533333333333333</v>
      </c>
      <c r="I207" s="28" t="n">
        <v>3.78</v>
      </c>
      <c r="J207" s="28" t="n">
        <f aca="false">H207*I207</f>
        <v>2.016</v>
      </c>
    </row>
    <row r="208" customFormat="false" ht="15" hidden="false" customHeight="false" outlineLevel="0" collapsed="false">
      <c r="B208" s="1" t="s">
        <v>311</v>
      </c>
      <c r="F208" s="55" t="s">
        <v>312</v>
      </c>
      <c r="H208" s="57" t="n">
        <v>3</v>
      </c>
      <c r="I208" s="28" t="n">
        <f aca="false">J196</f>
        <v>40.3109333333333</v>
      </c>
      <c r="J208" s="28" t="n">
        <f aca="false">H208%*I208</f>
        <v>1.209328</v>
      </c>
    </row>
    <row r="209" customFormat="false" ht="15" hidden="false" customHeight="false" outlineLevel="0" collapsed="false">
      <c r="A209" s="60"/>
      <c r="B209" s="60"/>
      <c r="C209" s="60"/>
      <c r="D209" s="60"/>
      <c r="E209" s="60"/>
      <c r="F209" s="60"/>
      <c r="G209" s="60"/>
      <c r="H209" s="60"/>
      <c r="I209" s="80"/>
      <c r="J209" s="61" t="n">
        <f aca="false">SUM(J207:J208)</f>
        <v>3.225328</v>
      </c>
    </row>
    <row r="210" customFormat="false" ht="15" hidden="false" customHeight="false" outlineLevel="0" collapsed="false">
      <c r="I210" s="14"/>
      <c r="J210" s="53"/>
    </row>
    <row r="211" customFormat="false" ht="15" hidden="false" customHeight="false" outlineLevel="0" collapsed="false">
      <c r="A211" s="82" t="s">
        <v>278</v>
      </c>
      <c r="B211" s="82" t="str">
        <f aca="false">ARQUITECTURA!A17</f>
        <v>03.02.03.02</v>
      </c>
      <c r="C211" s="82" t="s">
        <v>782</v>
      </c>
    </row>
    <row r="212" customFormat="false" ht="15" hidden="false" customHeight="false" outlineLevel="0" collapsed="false">
      <c r="A212" s="82" t="s">
        <v>279</v>
      </c>
      <c r="B212" s="82" t="s">
        <v>930</v>
      </c>
      <c r="C212" s="84" t="s">
        <v>281</v>
      </c>
      <c r="D212" s="85" t="n">
        <v>8</v>
      </c>
      <c r="E212" s="84" t="s">
        <v>282</v>
      </c>
      <c r="F212" s="85" t="n">
        <f aca="false">D212</f>
        <v>8</v>
      </c>
      <c r="G212" s="82" t="s">
        <v>283</v>
      </c>
      <c r="I212" s="84" t="s">
        <v>134</v>
      </c>
      <c r="J212" s="86" t="n">
        <f aca="false">J218+J225+J229</f>
        <v>62.663358</v>
      </c>
    </row>
    <row r="213" customFormat="false" ht="15" hidden="false" customHeight="false" outlineLevel="0" collapsed="false">
      <c r="A213" s="82" t="s">
        <v>284</v>
      </c>
      <c r="B213" s="82" t="s">
        <v>285</v>
      </c>
      <c r="F213" s="84" t="s">
        <v>123</v>
      </c>
      <c r="G213" s="84" t="s">
        <v>286</v>
      </c>
      <c r="H213" s="84" t="s">
        <v>287</v>
      </c>
      <c r="I213" s="84" t="s">
        <v>288</v>
      </c>
      <c r="J213" s="84" t="s">
        <v>289</v>
      </c>
      <c r="M213" s="82"/>
      <c r="N213" s="82"/>
    </row>
    <row r="214" customFormat="false" ht="15" hidden="false" customHeight="false" outlineLevel="0" collapsed="false">
      <c r="B214" s="87" t="s">
        <v>290</v>
      </c>
      <c r="G214" s="56"/>
      <c r="N214" s="82"/>
    </row>
    <row r="215" customFormat="false" ht="15" hidden="false" customHeight="false" outlineLevel="0" collapsed="false">
      <c r="B215" s="1" t="s">
        <v>651</v>
      </c>
      <c r="F215" s="55" t="s">
        <v>292</v>
      </c>
      <c r="G215" s="56" t="n">
        <v>0.1</v>
      </c>
      <c r="H215" s="57" t="n">
        <f aca="false">G215*8/$D$212</f>
        <v>0.1</v>
      </c>
      <c r="I215" s="28" t="n">
        <v>34.73</v>
      </c>
      <c r="J215" s="28" t="n">
        <f aca="false">H215*I215</f>
        <v>3.473</v>
      </c>
      <c r="M215" s="82"/>
      <c r="N215" s="82"/>
    </row>
    <row r="216" customFormat="false" ht="15" hidden="false" customHeight="false" outlineLevel="0" collapsed="false">
      <c r="B216" s="1" t="s">
        <v>405</v>
      </c>
      <c r="F216" s="55" t="s">
        <v>292</v>
      </c>
      <c r="G216" s="56" t="n">
        <v>1</v>
      </c>
      <c r="H216" s="57" t="n">
        <f aca="false">G216*8/$D$212</f>
        <v>1</v>
      </c>
      <c r="I216" s="1" t="n">
        <v>28.94</v>
      </c>
      <c r="J216" s="28" t="n">
        <f aca="false">H216*I216</f>
        <v>28.94</v>
      </c>
      <c r="N216" s="82"/>
    </row>
    <row r="217" customFormat="false" ht="15" hidden="false" customHeight="false" outlineLevel="0" collapsed="false">
      <c r="B217" s="1" t="s">
        <v>294</v>
      </c>
      <c r="F217" s="55" t="s">
        <v>292</v>
      </c>
      <c r="G217" s="56" t="n">
        <v>0.5</v>
      </c>
      <c r="H217" s="57" t="n">
        <f aca="false">G217*8/$D$212</f>
        <v>0.5</v>
      </c>
      <c r="I217" s="1" t="n">
        <v>21.36</v>
      </c>
      <c r="J217" s="28" t="n">
        <f aca="false">H217*I217</f>
        <v>10.68</v>
      </c>
      <c r="N217" s="82"/>
    </row>
    <row r="218" customFormat="false" ht="15" hidden="false" customHeight="false" outlineLevel="0" collapsed="false">
      <c r="F218" s="55"/>
      <c r="G218" s="56"/>
      <c r="J218" s="86" t="n">
        <f aca="false">SUM(J215:J217)</f>
        <v>43.093</v>
      </c>
      <c r="M218" s="82"/>
      <c r="N218" s="82"/>
      <c r="Q218" s="122"/>
      <c r="R218" s="122"/>
      <c r="S218" s="122"/>
    </row>
    <row r="219" customFormat="false" ht="15" hidden="false" customHeight="false" outlineLevel="0" collapsed="false">
      <c r="B219" s="87" t="s">
        <v>295</v>
      </c>
      <c r="F219" s="55"/>
      <c r="G219" s="56"/>
      <c r="H219" s="99"/>
    </row>
    <row r="220" customFormat="false" ht="15" hidden="false" customHeight="false" outlineLevel="0" collapsed="false">
      <c r="B220" s="1" t="s">
        <v>931</v>
      </c>
      <c r="F220" s="55" t="s">
        <v>204</v>
      </c>
      <c r="H220" s="99" t="n">
        <v>0.0177</v>
      </c>
      <c r="I220" s="28" t="n">
        <v>90.4</v>
      </c>
      <c r="J220" s="28" t="n">
        <f aca="false">H220*I220</f>
        <v>1.60008</v>
      </c>
    </row>
    <row r="221" customFormat="false" ht="15" hidden="false" customHeight="false" outlineLevel="0" collapsed="false">
      <c r="B221" s="1" t="s">
        <v>665</v>
      </c>
      <c r="F221" s="55" t="s">
        <v>204</v>
      </c>
      <c r="H221" s="99" t="n">
        <v>0.0044</v>
      </c>
      <c r="I221" s="1" t="n">
        <v>6.14</v>
      </c>
      <c r="J221" s="28" t="n">
        <f aca="false">H221*I221</f>
        <v>0.027016</v>
      </c>
    </row>
    <row r="222" customFormat="false" ht="15" hidden="false" customHeight="false" outlineLevel="0" collapsed="false">
      <c r="B222" s="1" t="s">
        <v>932</v>
      </c>
      <c r="F222" s="55" t="s">
        <v>297</v>
      </c>
      <c r="G222" s="56"/>
      <c r="H222" s="99" t="n">
        <v>0.022</v>
      </c>
      <c r="I222" s="28" t="n">
        <v>3.51</v>
      </c>
      <c r="J222" s="28" t="n">
        <f aca="false">H222*I222</f>
        <v>0.07722</v>
      </c>
    </row>
    <row r="223" customFormat="false" ht="15" hidden="false" customHeight="false" outlineLevel="0" collapsed="false">
      <c r="B223" s="1" t="s">
        <v>702</v>
      </c>
      <c r="F223" s="55" t="s">
        <v>308</v>
      </c>
      <c r="H223" s="99" t="n">
        <v>0.1446</v>
      </c>
      <c r="I223" s="1" t="n">
        <v>24.52</v>
      </c>
      <c r="J223" s="28" t="n">
        <f aca="false">H223*I223</f>
        <v>3.545592</v>
      </c>
    </row>
    <row r="224" customFormat="false" ht="15" hidden="false" customHeight="false" outlineLevel="0" collapsed="false">
      <c r="B224" s="1" t="s">
        <v>670</v>
      </c>
      <c r="F224" s="55" t="s">
        <v>306</v>
      </c>
      <c r="G224" s="56"/>
      <c r="H224" s="99" t="n">
        <v>0.201</v>
      </c>
      <c r="I224" s="28" t="n">
        <v>5.8</v>
      </c>
      <c r="J224" s="28" t="n">
        <f aca="false">H224*I224</f>
        <v>1.1658</v>
      </c>
    </row>
    <row r="225" customFormat="false" ht="15" hidden="false" customHeight="false" outlineLevel="0" collapsed="false">
      <c r="F225" s="55"/>
      <c r="G225" s="56"/>
      <c r="J225" s="86" t="n">
        <f aca="false">SUM(J220:J224)</f>
        <v>6.415708</v>
      </c>
    </row>
    <row r="226" customFormat="false" ht="15" hidden="false" customHeight="false" outlineLevel="0" collapsed="false">
      <c r="B226" s="87" t="s">
        <v>318</v>
      </c>
      <c r="F226" s="55"/>
      <c r="G226" s="56"/>
    </row>
    <row r="227" customFormat="false" ht="15" hidden="false" customHeight="false" outlineLevel="0" collapsed="false">
      <c r="B227" s="1" t="s">
        <v>311</v>
      </c>
      <c r="F227" s="55" t="s">
        <v>312</v>
      </c>
      <c r="H227" s="57" t="n">
        <v>5</v>
      </c>
      <c r="I227" s="28" t="n">
        <f aca="false">J218</f>
        <v>43.093</v>
      </c>
      <c r="J227" s="28" t="n">
        <f aca="false">H227%*I227</f>
        <v>2.15465</v>
      </c>
    </row>
    <row r="228" customFormat="false" ht="15" hidden="false" customHeight="false" outlineLevel="0" collapsed="false">
      <c r="B228" s="1" t="s">
        <v>929</v>
      </c>
      <c r="C228" s="132"/>
      <c r="D228" s="132"/>
      <c r="E228" s="132"/>
      <c r="F228" s="55" t="s">
        <v>338</v>
      </c>
      <c r="G228" s="56" t="n">
        <v>2</v>
      </c>
      <c r="H228" s="57" t="n">
        <f aca="false">G228*8/$D$212</f>
        <v>2</v>
      </c>
      <c r="I228" s="28" t="n">
        <v>5.5</v>
      </c>
      <c r="J228" s="28" t="n">
        <f aca="false">H228*I228</f>
        <v>11</v>
      </c>
    </row>
    <row r="229" customFormat="false" ht="15" hidden="false" customHeight="false" outlineLevel="0" collapsed="false">
      <c r="A229" s="60"/>
      <c r="B229" s="60"/>
      <c r="C229" s="60"/>
      <c r="D229" s="60"/>
      <c r="E229" s="60"/>
      <c r="F229" s="60"/>
      <c r="G229" s="60"/>
      <c r="H229" s="60"/>
      <c r="I229" s="60"/>
      <c r="J229" s="89" t="n">
        <f aca="false">SUM(J227:J228)</f>
        <v>13.15465</v>
      </c>
    </row>
    <row r="230" customFormat="false" ht="15" hidden="false" customHeight="false" outlineLevel="0" collapsed="false">
      <c r="I230" s="14"/>
      <c r="J230" s="53"/>
    </row>
    <row r="231" customFormat="false" ht="15" hidden="false" customHeight="false" outlineLevel="0" collapsed="false">
      <c r="A231" s="82" t="s">
        <v>278</v>
      </c>
      <c r="B231" s="82" t="str">
        <f aca="false">ARQUITECTURA!A19</f>
        <v>03.03.01</v>
      </c>
      <c r="C231" s="82" t="s">
        <v>785</v>
      </c>
      <c r="D231" s="82"/>
    </row>
    <row r="232" customFormat="false" ht="15" hidden="false" customHeight="false" outlineLevel="0" collapsed="false">
      <c r="A232" s="82" t="s">
        <v>279</v>
      </c>
      <c r="B232" s="82" t="s">
        <v>280</v>
      </c>
      <c r="C232" s="84" t="s">
        <v>281</v>
      </c>
      <c r="D232" s="85" t="n">
        <v>80</v>
      </c>
      <c r="E232" s="84" t="s">
        <v>282</v>
      </c>
      <c r="F232" s="85" t="n">
        <f aca="false">D232</f>
        <v>80</v>
      </c>
      <c r="G232" s="82" t="s">
        <v>283</v>
      </c>
      <c r="I232" s="84" t="s">
        <v>134</v>
      </c>
      <c r="J232" s="86" t="n">
        <f aca="false">J239+J245+J249</f>
        <v>40.18468579</v>
      </c>
    </row>
    <row r="233" customFormat="false" ht="15" hidden="false" customHeight="false" outlineLevel="0" collapsed="false">
      <c r="A233" s="82" t="s">
        <v>284</v>
      </c>
      <c r="B233" s="82" t="s">
        <v>285</v>
      </c>
      <c r="F233" s="84" t="s">
        <v>123</v>
      </c>
      <c r="G233" s="84" t="s">
        <v>286</v>
      </c>
      <c r="H233" s="84" t="n">
        <v>0.0556</v>
      </c>
      <c r="I233" s="84" t="s">
        <v>288</v>
      </c>
      <c r="J233" s="84" t="s">
        <v>289</v>
      </c>
    </row>
    <row r="234" customFormat="false" ht="15" hidden="false" customHeight="false" outlineLevel="0" collapsed="false">
      <c r="B234" s="87" t="s">
        <v>290</v>
      </c>
    </row>
    <row r="235" customFormat="false" ht="15" hidden="false" customHeight="false" outlineLevel="0" collapsed="false">
      <c r="B235" s="1" t="s">
        <v>651</v>
      </c>
      <c r="F235" s="55" t="s">
        <v>292</v>
      </c>
      <c r="G235" s="56" t="n">
        <v>0.3</v>
      </c>
      <c r="H235" s="57" t="n">
        <v>0.0021</v>
      </c>
      <c r="I235" s="28" t="n">
        <v>34.73</v>
      </c>
      <c r="J235" s="28" t="n">
        <f aca="false">H235*I235</f>
        <v>0.072933</v>
      </c>
    </row>
    <row r="236" customFormat="false" ht="15" hidden="false" customHeight="false" outlineLevel="0" collapsed="false">
      <c r="B236" s="1" t="s">
        <v>291</v>
      </c>
      <c r="F236" s="55" t="s">
        <v>292</v>
      </c>
      <c r="G236" s="56" t="n">
        <v>3</v>
      </c>
      <c r="H236" s="57" t="n">
        <v>0.014</v>
      </c>
      <c r="I236" s="28" t="n">
        <v>28.94</v>
      </c>
      <c r="J236" s="28" t="n">
        <f aca="false">H236*I236</f>
        <v>0.40516</v>
      </c>
    </row>
    <row r="237" customFormat="false" ht="15" hidden="false" customHeight="false" outlineLevel="0" collapsed="false">
      <c r="B237" s="1" t="s">
        <v>680</v>
      </c>
      <c r="F237" s="55" t="s">
        <v>292</v>
      </c>
      <c r="G237" s="56" t="n">
        <v>1</v>
      </c>
      <c r="H237" s="57" t="n">
        <f aca="false">G237*8/$D$232</f>
        <v>0.1</v>
      </c>
      <c r="I237" s="28" t="n">
        <v>22.66</v>
      </c>
      <c r="J237" s="28" t="n">
        <f aca="false">H237*I237</f>
        <v>2.266</v>
      </c>
    </row>
    <row r="238" customFormat="false" ht="15" hidden="false" customHeight="false" outlineLevel="0" collapsed="false">
      <c r="B238" s="1" t="s">
        <v>294</v>
      </c>
      <c r="F238" s="55" t="s">
        <v>292</v>
      </c>
      <c r="G238" s="56" t="n">
        <v>5</v>
      </c>
      <c r="H238" s="57" t="n">
        <f aca="false">G238*8/$D$232</f>
        <v>0.5</v>
      </c>
      <c r="I238" s="28" t="n">
        <v>20.51</v>
      </c>
      <c r="J238" s="28" t="n">
        <f aca="false">H238*I238</f>
        <v>10.255</v>
      </c>
    </row>
    <row r="239" customFormat="false" ht="15" hidden="false" customHeight="false" outlineLevel="0" collapsed="false">
      <c r="F239" s="55"/>
      <c r="G239" s="56"/>
      <c r="H239" s="57"/>
      <c r="I239" s="28"/>
      <c r="J239" s="86" t="n">
        <f aca="false">SUM(J235:J238)</f>
        <v>12.999093</v>
      </c>
    </row>
    <row r="240" customFormat="false" ht="15" hidden="false" customHeight="false" outlineLevel="0" collapsed="false">
      <c r="B240" s="87" t="s">
        <v>654</v>
      </c>
      <c r="F240" s="55"/>
      <c r="G240" s="56"/>
      <c r="H240" s="57"/>
      <c r="J240" s="28"/>
    </row>
    <row r="241" customFormat="false" ht="15" hidden="false" customHeight="false" outlineLevel="0" collapsed="false">
      <c r="B241" s="1" t="s">
        <v>674</v>
      </c>
      <c r="F241" s="55" t="s">
        <v>204</v>
      </c>
      <c r="H241" s="57" t="n">
        <v>0.0556</v>
      </c>
      <c r="I241" s="28" t="n">
        <v>47</v>
      </c>
      <c r="J241" s="28" t="n">
        <f aca="false">H241*I241</f>
        <v>2.6132</v>
      </c>
    </row>
    <row r="242" customFormat="false" ht="15" hidden="false" customHeight="false" outlineLevel="0" collapsed="false">
      <c r="B242" s="1" t="s">
        <v>307</v>
      </c>
      <c r="F242" s="55" t="s">
        <v>308</v>
      </c>
      <c r="H242" s="1" t="n">
        <v>0.4505</v>
      </c>
      <c r="I242" s="28" t="n">
        <v>24.52</v>
      </c>
      <c r="J242" s="28" t="n">
        <f aca="false">H242*I242</f>
        <v>11.04626</v>
      </c>
    </row>
    <row r="243" customFormat="false" ht="15" hidden="false" customHeight="false" outlineLevel="0" collapsed="false">
      <c r="B243" s="1" t="s">
        <v>920</v>
      </c>
      <c r="F243" s="55" t="s">
        <v>204</v>
      </c>
      <c r="H243" s="1" t="n">
        <v>0.0021</v>
      </c>
      <c r="I243" s="28" t="n">
        <v>112</v>
      </c>
      <c r="J243" s="28" t="n">
        <f aca="false">H243*I243</f>
        <v>0.2352</v>
      </c>
    </row>
    <row r="244" customFormat="false" ht="15" hidden="false" customHeight="false" outlineLevel="0" collapsed="false">
      <c r="B244" s="1" t="s">
        <v>656</v>
      </c>
      <c r="F244" s="55" t="s">
        <v>204</v>
      </c>
      <c r="H244" s="57" t="n">
        <v>0.014</v>
      </c>
      <c r="I244" s="1" t="n">
        <v>6.14</v>
      </c>
      <c r="J244" s="28" t="n">
        <f aca="false">H244*I244</f>
        <v>0.08596</v>
      </c>
    </row>
    <row r="245" customFormat="false" ht="15" hidden="false" customHeight="false" outlineLevel="0" collapsed="false">
      <c r="F245" s="55"/>
      <c r="H245" s="57"/>
      <c r="I245" s="28"/>
      <c r="J245" s="86" t="n">
        <f aca="false">SUM(J241:J244)</f>
        <v>13.98062</v>
      </c>
    </row>
    <row r="246" customFormat="false" ht="15" hidden="false" customHeight="false" outlineLevel="0" collapsed="false">
      <c r="B246" s="87" t="s">
        <v>310</v>
      </c>
    </row>
    <row r="247" customFormat="false" ht="15" hidden="false" customHeight="false" outlineLevel="0" collapsed="false">
      <c r="B247" s="1" t="s">
        <v>311</v>
      </c>
      <c r="F247" s="55" t="s">
        <v>312</v>
      </c>
      <c r="H247" s="57" t="n">
        <v>3</v>
      </c>
      <c r="I247" s="28" t="n">
        <f aca="false">J239</f>
        <v>12.999093</v>
      </c>
      <c r="J247" s="28" t="n">
        <f aca="false">H247%*I247</f>
        <v>0.38997279</v>
      </c>
    </row>
    <row r="248" customFormat="false" ht="15" hidden="false" customHeight="false" outlineLevel="0" collapsed="false">
      <c r="B248" s="1" t="s">
        <v>933</v>
      </c>
      <c r="F248" s="55" t="s">
        <v>338</v>
      </c>
      <c r="G248" s="56" t="n">
        <v>5</v>
      </c>
      <c r="H248" s="57" t="n">
        <f aca="false">G248*8/$D$232</f>
        <v>0.5</v>
      </c>
      <c r="I248" s="28" t="n">
        <v>25.63</v>
      </c>
      <c r="J248" s="28" t="n">
        <f aca="false">H248*I248</f>
        <v>12.815</v>
      </c>
    </row>
    <row r="249" customFormat="false" ht="15" hidden="false" customHeight="false" outlineLevel="0" collapsed="false">
      <c r="A249" s="60"/>
      <c r="B249" s="60"/>
      <c r="C249" s="60"/>
      <c r="D249" s="60"/>
      <c r="E249" s="60"/>
      <c r="F249" s="60"/>
      <c r="G249" s="60"/>
      <c r="H249" s="60"/>
      <c r="I249" s="60"/>
      <c r="J249" s="89" t="n">
        <f aca="false">SUM(J247:J248)</f>
        <v>13.20497279</v>
      </c>
    </row>
    <row r="251" customFormat="false" ht="15" hidden="false" customHeight="false" outlineLevel="0" collapsed="false">
      <c r="A251" s="82" t="s">
        <v>278</v>
      </c>
      <c r="B251" s="82" t="str">
        <f aca="false">ARQUITECTURA!A20</f>
        <v>03.03.02</v>
      </c>
      <c r="C251" s="82" t="s">
        <v>787</v>
      </c>
      <c r="D251" s="82"/>
    </row>
    <row r="252" customFormat="false" ht="15" hidden="false" customHeight="false" outlineLevel="0" collapsed="false">
      <c r="A252" s="82" t="s">
        <v>279</v>
      </c>
      <c r="B252" s="82" t="s">
        <v>280</v>
      </c>
      <c r="C252" s="84" t="s">
        <v>281</v>
      </c>
      <c r="D252" s="85" t="n">
        <v>10</v>
      </c>
      <c r="E252" s="84" t="s">
        <v>282</v>
      </c>
      <c r="F252" s="85" t="n">
        <f aca="false">D252</f>
        <v>10</v>
      </c>
      <c r="G252" s="82" t="s">
        <v>283</v>
      </c>
      <c r="I252" s="84" t="s">
        <v>134</v>
      </c>
      <c r="J252" s="86" t="n">
        <f aca="false">J258+J266+J269</f>
        <v>206.773372</v>
      </c>
    </row>
    <row r="253" customFormat="false" ht="15" hidden="false" customHeight="false" outlineLevel="0" collapsed="false">
      <c r="A253" s="82" t="s">
        <v>284</v>
      </c>
      <c r="B253" s="82" t="s">
        <v>285</v>
      </c>
      <c r="F253" s="84" t="s">
        <v>123</v>
      </c>
      <c r="G253" s="84" t="s">
        <v>286</v>
      </c>
      <c r="H253" s="84" t="n">
        <v>0.0556</v>
      </c>
      <c r="I253" s="84" t="s">
        <v>288</v>
      </c>
      <c r="J253" s="84" t="s">
        <v>289</v>
      </c>
    </row>
    <row r="254" customFormat="false" ht="15" hidden="false" customHeight="false" outlineLevel="0" collapsed="false">
      <c r="B254" s="87" t="s">
        <v>290</v>
      </c>
    </row>
    <row r="255" customFormat="false" ht="15" hidden="false" customHeight="false" outlineLevel="0" collapsed="false">
      <c r="B255" s="1" t="s">
        <v>651</v>
      </c>
      <c r="F255" s="55" t="s">
        <v>292</v>
      </c>
      <c r="G255" s="56" t="n">
        <v>0.3</v>
      </c>
      <c r="H255" s="57" t="n">
        <f aca="false">G255*8/$D$252</f>
        <v>0.24</v>
      </c>
      <c r="I255" s="28" t="n">
        <v>34.73</v>
      </c>
      <c r="J255" s="28" t="n">
        <f aca="false">H255*I255</f>
        <v>8.3352</v>
      </c>
    </row>
    <row r="256" customFormat="false" ht="15" hidden="false" customHeight="false" outlineLevel="0" collapsed="false">
      <c r="B256" s="1" t="s">
        <v>291</v>
      </c>
      <c r="F256" s="55" t="s">
        <v>292</v>
      </c>
      <c r="G256" s="56" t="n">
        <v>3</v>
      </c>
      <c r="H256" s="57" t="n">
        <f aca="false">G256*8/$D$252</f>
        <v>2.4</v>
      </c>
      <c r="I256" s="28" t="n">
        <v>28.94</v>
      </c>
      <c r="J256" s="28" t="n">
        <f aca="false">H256*I256</f>
        <v>69.456</v>
      </c>
    </row>
    <row r="257" customFormat="false" ht="15" hidden="false" customHeight="false" outlineLevel="0" collapsed="false">
      <c r="B257" s="1" t="s">
        <v>294</v>
      </c>
      <c r="F257" s="55" t="s">
        <v>292</v>
      </c>
      <c r="G257" s="56" t="n">
        <v>4</v>
      </c>
      <c r="H257" s="57" t="n">
        <f aca="false">G257*8/$D$252</f>
        <v>3.2</v>
      </c>
      <c r="I257" s="28" t="n">
        <v>20.51</v>
      </c>
      <c r="J257" s="28" t="n">
        <f aca="false">H257*I257</f>
        <v>65.632</v>
      </c>
    </row>
    <row r="258" customFormat="false" ht="15" hidden="false" customHeight="false" outlineLevel="0" collapsed="false">
      <c r="F258" s="55"/>
      <c r="G258" s="56"/>
      <c r="H258" s="57"/>
      <c r="I258" s="28"/>
      <c r="J258" s="86" t="n">
        <f aca="false">SUM(J255:J257)</f>
        <v>143.4232</v>
      </c>
    </row>
    <row r="259" customFormat="false" ht="15" hidden="false" customHeight="false" outlineLevel="0" collapsed="false">
      <c r="B259" s="87" t="s">
        <v>654</v>
      </c>
      <c r="F259" s="55"/>
      <c r="G259" s="56"/>
      <c r="H259" s="57"/>
      <c r="J259" s="28"/>
    </row>
    <row r="260" customFormat="false" ht="15" hidden="false" customHeight="false" outlineLevel="0" collapsed="false">
      <c r="B260" s="1" t="s">
        <v>916</v>
      </c>
      <c r="F260" s="55" t="s">
        <v>297</v>
      </c>
      <c r="H260" s="57" t="n">
        <v>0.63</v>
      </c>
      <c r="I260" s="28" t="n">
        <v>7.4</v>
      </c>
      <c r="J260" s="28" t="n">
        <f aca="false">H260*I260</f>
        <v>4.662</v>
      </c>
    </row>
    <row r="261" customFormat="false" ht="15" hidden="false" customHeight="false" outlineLevel="0" collapsed="false">
      <c r="B261" s="1" t="s">
        <v>934</v>
      </c>
      <c r="F261" s="55" t="s">
        <v>935</v>
      </c>
      <c r="H261" s="57" t="n">
        <v>0.336</v>
      </c>
      <c r="I261" s="28" t="n">
        <v>22.9</v>
      </c>
      <c r="J261" s="28" t="n">
        <f aca="false">H261*I261</f>
        <v>7.6944</v>
      </c>
    </row>
    <row r="262" customFormat="false" ht="15" hidden="false" customHeight="false" outlineLevel="0" collapsed="false">
      <c r="B262" s="1" t="s">
        <v>936</v>
      </c>
      <c r="F262" s="55" t="s">
        <v>134</v>
      </c>
      <c r="H262" s="57" t="n">
        <v>1.15</v>
      </c>
      <c r="I262" s="28" t="n">
        <v>38.9</v>
      </c>
      <c r="J262" s="28" t="n">
        <f aca="false">H262*I262</f>
        <v>44.735</v>
      </c>
    </row>
    <row r="263" customFormat="false" ht="15" hidden="false" customHeight="false" outlineLevel="0" collapsed="false">
      <c r="B263" s="1" t="s">
        <v>937</v>
      </c>
      <c r="F263" s="55" t="s">
        <v>432</v>
      </c>
      <c r="H263" s="57" t="n">
        <v>0.2</v>
      </c>
      <c r="I263" s="28" t="n">
        <v>8.5</v>
      </c>
      <c r="J263" s="28" t="n">
        <f aca="false">H263*I263</f>
        <v>1.7</v>
      </c>
    </row>
    <row r="264" customFormat="false" ht="15" hidden="false" customHeight="false" outlineLevel="0" collapsed="false">
      <c r="B264" s="1" t="s">
        <v>920</v>
      </c>
      <c r="F264" s="55" t="s">
        <v>150</v>
      </c>
      <c r="H264" s="57" t="n">
        <v>0.0021</v>
      </c>
      <c r="I264" s="28" t="n">
        <v>112</v>
      </c>
      <c r="J264" s="28" t="n">
        <f aca="false">H264*I264</f>
        <v>0.2352</v>
      </c>
    </row>
    <row r="265" customFormat="false" ht="15" hidden="false" customHeight="false" outlineLevel="0" collapsed="false">
      <c r="B265" s="1" t="s">
        <v>665</v>
      </c>
      <c r="F265" s="55" t="s">
        <v>204</v>
      </c>
      <c r="H265" s="57" t="n">
        <v>0.0034</v>
      </c>
      <c r="I265" s="28" t="n">
        <v>6.14</v>
      </c>
      <c r="J265" s="28" t="n">
        <f aca="false">H265*I265</f>
        <v>0.020876</v>
      </c>
    </row>
    <row r="266" customFormat="false" ht="15" hidden="false" customHeight="false" outlineLevel="0" collapsed="false">
      <c r="F266" s="55"/>
      <c r="H266" s="57"/>
      <c r="I266" s="28"/>
      <c r="J266" s="86" t="n">
        <f aca="false">SUM(J260:J265)</f>
        <v>59.047476</v>
      </c>
    </row>
    <row r="267" customFormat="false" ht="15" hidden="false" customHeight="false" outlineLevel="0" collapsed="false">
      <c r="B267" s="87" t="s">
        <v>310</v>
      </c>
    </row>
    <row r="268" customFormat="false" ht="15" hidden="false" customHeight="false" outlineLevel="0" collapsed="false">
      <c r="B268" s="1" t="s">
        <v>311</v>
      </c>
      <c r="F268" s="55" t="s">
        <v>312</v>
      </c>
      <c r="H268" s="57" t="n">
        <v>3</v>
      </c>
      <c r="I268" s="28" t="n">
        <f aca="false">J258</f>
        <v>143.4232</v>
      </c>
      <c r="J268" s="28" t="n">
        <f aca="false">H268%*I268</f>
        <v>4.302696</v>
      </c>
    </row>
    <row r="269" customFormat="false" ht="15" hidden="false" customHeight="false" outlineLevel="0" collapsed="false">
      <c r="A269" s="60"/>
      <c r="B269" s="60"/>
      <c r="C269" s="60"/>
      <c r="D269" s="60"/>
      <c r="E269" s="60"/>
      <c r="F269" s="60"/>
      <c r="G269" s="60"/>
      <c r="H269" s="60"/>
      <c r="I269" s="60"/>
      <c r="J269" s="89" t="n">
        <f aca="false">SUM(J268:J268)</f>
        <v>4.302696</v>
      </c>
    </row>
    <row r="271" customFormat="false" ht="15" hidden="false" customHeight="false" outlineLevel="0" collapsed="false">
      <c r="A271" s="82" t="s">
        <v>278</v>
      </c>
      <c r="B271" s="82" t="str">
        <f aca="false">ARQUITECTURA!A21</f>
        <v>03.03.03</v>
      </c>
      <c r="C271" s="82" t="s">
        <v>789</v>
      </c>
      <c r="D271" s="82"/>
    </row>
    <row r="272" customFormat="false" ht="15" hidden="false" customHeight="false" outlineLevel="0" collapsed="false">
      <c r="A272" s="82" t="s">
        <v>279</v>
      </c>
      <c r="B272" s="82" t="s">
        <v>280</v>
      </c>
      <c r="C272" s="84" t="s">
        <v>281</v>
      </c>
      <c r="D272" s="85" t="n">
        <v>10</v>
      </c>
      <c r="E272" s="84" t="s">
        <v>282</v>
      </c>
      <c r="F272" s="85" t="n">
        <f aca="false">D272</f>
        <v>10</v>
      </c>
      <c r="G272" s="82" t="s">
        <v>283</v>
      </c>
      <c r="I272" s="84" t="s">
        <v>134</v>
      </c>
      <c r="J272" s="86" t="n">
        <f aca="false">J278+J286+J289</f>
        <v>102.656028</v>
      </c>
    </row>
    <row r="273" customFormat="false" ht="15" hidden="false" customHeight="false" outlineLevel="0" collapsed="false">
      <c r="A273" s="82" t="s">
        <v>284</v>
      </c>
      <c r="B273" s="82" t="s">
        <v>285</v>
      </c>
      <c r="F273" s="84" t="s">
        <v>123</v>
      </c>
      <c r="G273" s="84" t="s">
        <v>286</v>
      </c>
      <c r="H273" s="84" t="n">
        <v>0.0556</v>
      </c>
      <c r="I273" s="84" t="s">
        <v>288</v>
      </c>
      <c r="J273" s="84" t="s">
        <v>289</v>
      </c>
    </row>
    <row r="274" customFormat="false" ht="15" hidden="false" customHeight="false" outlineLevel="0" collapsed="false">
      <c r="B274" s="87" t="s">
        <v>290</v>
      </c>
    </row>
    <row r="275" customFormat="false" ht="15" hidden="false" customHeight="false" outlineLevel="0" collapsed="false">
      <c r="B275" s="1" t="s">
        <v>651</v>
      </c>
      <c r="F275" s="55" t="s">
        <v>292</v>
      </c>
      <c r="G275" s="56" t="n">
        <v>0.1</v>
      </c>
      <c r="H275" s="57" t="n">
        <f aca="false">G275*8/$D$272</f>
        <v>0.08</v>
      </c>
      <c r="I275" s="28" t="n">
        <v>34.73</v>
      </c>
      <c r="J275" s="28" t="n">
        <f aca="false">H275*I275</f>
        <v>2.7784</v>
      </c>
    </row>
    <row r="276" customFormat="false" ht="15" hidden="false" customHeight="false" outlineLevel="0" collapsed="false">
      <c r="B276" s="1" t="s">
        <v>291</v>
      </c>
      <c r="F276" s="55" t="s">
        <v>292</v>
      </c>
      <c r="G276" s="56" t="n">
        <v>1</v>
      </c>
      <c r="H276" s="57" t="n">
        <f aca="false">G276*8/$D$272</f>
        <v>0.8</v>
      </c>
      <c r="I276" s="28" t="n">
        <v>28.94</v>
      </c>
      <c r="J276" s="28" t="n">
        <f aca="false">H276*I276</f>
        <v>23.152</v>
      </c>
    </row>
    <row r="277" customFormat="false" ht="15" hidden="false" customHeight="false" outlineLevel="0" collapsed="false">
      <c r="B277" s="1" t="s">
        <v>294</v>
      </c>
      <c r="F277" s="55" t="s">
        <v>292</v>
      </c>
      <c r="G277" s="56" t="n">
        <v>1</v>
      </c>
      <c r="H277" s="57" t="n">
        <f aca="false">G277*8/$D$272</f>
        <v>0.8</v>
      </c>
      <c r="I277" s="28" t="n">
        <v>20.51</v>
      </c>
      <c r="J277" s="28" t="n">
        <f aca="false">H277*I277</f>
        <v>16.408</v>
      </c>
    </row>
    <row r="278" customFormat="false" ht="15" hidden="false" customHeight="false" outlineLevel="0" collapsed="false">
      <c r="F278" s="55"/>
      <c r="G278" s="56"/>
      <c r="H278" s="57"/>
      <c r="I278" s="28"/>
      <c r="J278" s="86" t="n">
        <f aca="false">SUM(J275:J277)</f>
        <v>42.3384</v>
      </c>
    </row>
    <row r="279" customFormat="false" ht="15" hidden="false" customHeight="false" outlineLevel="0" collapsed="false">
      <c r="B279" s="87" t="s">
        <v>654</v>
      </c>
      <c r="F279" s="55"/>
      <c r="G279" s="56"/>
      <c r="H279" s="57"/>
      <c r="J279" s="28"/>
    </row>
    <row r="280" customFormat="false" ht="15" hidden="false" customHeight="false" outlineLevel="0" collapsed="false">
      <c r="B280" s="1" t="s">
        <v>916</v>
      </c>
      <c r="F280" s="55" t="s">
        <v>297</v>
      </c>
      <c r="H280" s="57" t="n">
        <v>0.63</v>
      </c>
      <c r="I280" s="28" t="n">
        <v>7.4</v>
      </c>
      <c r="J280" s="28" t="n">
        <f aca="false">H280*I280</f>
        <v>4.662</v>
      </c>
    </row>
    <row r="281" customFormat="false" ht="15" hidden="false" customHeight="false" outlineLevel="0" collapsed="false">
      <c r="B281" s="1" t="s">
        <v>934</v>
      </c>
      <c r="F281" s="55" t="s">
        <v>935</v>
      </c>
      <c r="H281" s="57" t="n">
        <v>0.336</v>
      </c>
      <c r="I281" s="28" t="n">
        <v>22.9</v>
      </c>
      <c r="J281" s="28" t="n">
        <f aca="false">H281*I281</f>
        <v>7.6944</v>
      </c>
    </row>
    <row r="282" customFormat="false" ht="15" hidden="false" customHeight="false" outlineLevel="0" collapsed="false">
      <c r="B282" s="1" t="s">
        <v>936</v>
      </c>
      <c r="F282" s="55" t="s">
        <v>134</v>
      </c>
      <c r="H282" s="57" t="n">
        <v>1.15</v>
      </c>
      <c r="I282" s="28" t="n">
        <v>38.9</v>
      </c>
      <c r="J282" s="28" t="n">
        <f aca="false">H282*I282</f>
        <v>44.735</v>
      </c>
    </row>
    <row r="283" customFormat="false" ht="15" hidden="false" customHeight="false" outlineLevel="0" collapsed="false">
      <c r="B283" s="1" t="s">
        <v>937</v>
      </c>
      <c r="F283" s="55" t="s">
        <v>432</v>
      </c>
      <c r="H283" s="57" t="n">
        <v>0.2</v>
      </c>
      <c r="I283" s="28" t="n">
        <v>8.5</v>
      </c>
      <c r="J283" s="28" t="n">
        <f aca="false">H283*I283</f>
        <v>1.7</v>
      </c>
    </row>
    <row r="284" customFormat="false" ht="15" hidden="false" customHeight="false" outlineLevel="0" collapsed="false">
      <c r="B284" s="1" t="s">
        <v>920</v>
      </c>
      <c r="F284" s="55" t="s">
        <v>150</v>
      </c>
      <c r="H284" s="57" t="n">
        <v>0.0021</v>
      </c>
      <c r="I284" s="28" t="n">
        <v>112</v>
      </c>
      <c r="J284" s="28" t="n">
        <f aca="false">H284*I284</f>
        <v>0.2352</v>
      </c>
    </row>
    <row r="285" customFormat="false" ht="15" hidden="false" customHeight="false" outlineLevel="0" collapsed="false">
      <c r="B285" s="1" t="s">
        <v>665</v>
      </c>
      <c r="F285" s="55" t="s">
        <v>204</v>
      </c>
      <c r="H285" s="57" t="n">
        <v>0.0034</v>
      </c>
      <c r="I285" s="28" t="n">
        <v>6.14</v>
      </c>
      <c r="J285" s="28" t="n">
        <f aca="false">H285*I285</f>
        <v>0.020876</v>
      </c>
    </row>
    <row r="286" customFormat="false" ht="15" hidden="false" customHeight="false" outlineLevel="0" collapsed="false">
      <c r="F286" s="55"/>
      <c r="H286" s="57"/>
      <c r="I286" s="28"/>
      <c r="J286" s="86" t="n">
        <f aca="false">SUM(J280:J285)</f>
        <v>59.047476</v>
      </c>
    </row>
    <row r="287" customFormat="false" ht="15" hidden="false" customHeight="false" outlineLevel="0" collapsed="false">
      <c r="B287" s="87" t="s">
        <v>310</v>
      </c>
    </row>
    <row r="288" customFormat="false" ht="15" hidden="false" customHeight="false" outlineLevel="0" collapsed="false">
      <c r="B288" s="1" t="s">
        <v>311</v>
      </c>
      <c r="F288" s="55" t="s">
        <v>312</v>
      </c>
      <c r="H288" s="57" t="n">
        <v>3</v>
      </c>
      <c r="I288" s="28" t="n">
        <f aca="false">J278</f>
        <v>42.3384</v>
      </c>
      <c r="J288" s="28" t="n">
        <f aca="false">H288%*I288</f>
        <v>1.270152</v>
      </c>
    </row>
    <row r="289" customFormat="false" ht="15" hidden="false" customHeight="false" outlineLevel="0" collapsed="false">
      <c r="A289" s="60"/>
      <c r="B289" s="60"/>
      <c r="C289" s="60"/>
      <c r="D289" s="60"/>
      <c r="E289" s="60"/>
      <c r="F289" s="60"/>
      <c r="G289" s="60"/>
      <c r="H289" s="60"/>
      <c r="I289" s="60"/>
      <c r="J289" s="89" t="n">
        <f aca="false">SUM(J288:J288)</f>
        <v>1.270152</v>
      </c>
    </row>
    <row r="290" customFormat="false" ht="15" hidden="false" customHeight="false" outlineLevel="0" collapsed="false">
      <c r="J290" s="86"/>
    </row>
    <row r="291" customFormat="false" ht="15" hidden="false" customHeight="false" outlineLevel="0" collapsed="false">
      <c r="A291" s="82" t="s">
        <v>278</v>
      </c>
      <c r="B291" s="82" t="str">
        <f aca="false">ARQUITECTURA!A22</f>
        <v>03.03.04</v>
      </c>
      <c r="C291" s="82" t="s">
        <v>791</v>
      </c>
      <c r="D291" s="82"/>
    </row>
    <row r="292" customFormat="false" ht="15" hidden="false" customHeight="false" outlineLevel="0" collapsed="false">
      <c r="A292" s="82" t="s">
        <v>279</v>
      </c>
      <c r="B292" s="82" t="s">
        <v>280</v>
      </c>
      <c r="C292" s="84" t="s">
        <v>281</v>
      </c>
      <c r="D292" s="85" t="n">
        <v>90</v>
      </c>
      <c r="E292" s="84" t="s">
        <v>282</v>
      </c>
      <c r="F292" s="85" t="n">
        <f aca="false">D292</f>
        <v>90</v>
      </c>
      <c r="G292" s="82" t="s">
        <v>283</v>
      </c>
      <c r="I292" s="84" t="s">
        <v>134</v>
      </c>
      <c r="J292" s="86" t="n">
        <f aca="false">J300+J309+J314</f>
        <v>47.4322</v>
      </c>
      <c r="M292" s="82"/>
      <c r="P292" s="122"/>
      <c r="Q292" s="122"/>
      <c r="R292" s="122"/>
    </row>
    <row r="293" customFormat="false" ht="15" hidden="false" customHeight="false" outlineLevel="0" collapsed="false">
      <c r="A293" s="82" t="s">
        <v>284</v>
      </c>
      <c r="B293" s="82" t="s">
        <v>285</v>
      </c>
      <c r="F293" s="84" t="s">
        <v>123</v>
      </c>
      <c r="G293" s="84" t="s">
        <v>286</v>
      </c>
      <c r="H293" s="84" t="n">
        <v>0.0556</v>
      </c>
      <c r="I293" s="84" t="s">
        <v>288</v>
      </c>
      <c r="J293" s="84" t="s">
        <v>289</v>
      </c>
      <c r="M293" s="82"/>
      <c r="P293" s="122"/>
      <c r="Q293" s="122"/>
      <c r="R293" s="122"/>
    </row>
    <row r="294" customFormat="false" ht="15" hidden="false" customHeight="false" outlineLevel="0" collapsed="false">
      <c r="B294" s="87" t="s">
        <v>290</v>
      </c>
      <c r="M294" s="82"/>
      <c r="P294" s="122"/>
      <c r="Q294" s="122"/>
      <c r="R294" s="122"/>
    </row>
    <row r="295" customFormat="false" ht="15" hidden="false" customHeight="false" outlineLevel="0" collapsed="false">
      <c r="B295" s="1" t="s">
        <v>651</v>
      </c>
      <c r="F295" s="55" t="s">
        <v>292</v>
      </c>
      <c r="G295" s="56" t="n">
        <v>0.1</v>
      </c>
      <c r="H295" s="57" t="n">
        <f aca="false">G295*8/$D$292</f>
        <v>0.00888888888888889</v>
      </c>
      <c r="I295" s="28" t="n">
        <v>34.73</v>
      </c>
      <c r="J295" s="28" t="n">
        <f aca="false">H295*I295</f>
        <v>0.308711111111111</v>
      </c>
      <c r="L295" s="82"/>
      <c r="M295" s="82"/>
      <c r="P295" s="133"/>
      <c r="Q295" s="133"/>
      <c r="R295" s="133"/>
    </row>
    <row r="296" customFormat="false" ht="15" hidden="false" customHeight="false" outlineLevel="0" collapsed="false">
      <c r="B296" s="1" t="s">
        <v>291</v>
      </c>
      <c r="F296" s="55" t="s">
        <v>292</v>
      </c>
      <c r="G296" s="56" t="n">
        <v>1</v>
      </c>
      <c r="H296" s="57" t="n">
        <f aca="false">G296*8/$D$292</f>
        <v>0.0888888888888889</v>
      </c>
      <c r="I296" s="28" t="n">
        <v>28.94</v>
      </c>
      <c r="J296" s="28" t="n">
        <f aca="false">H296*I296</f>
        <v>2.57244444444444</v>
      </c>
      <c r="M296" s="82"/>
      <c r="N296" s="122"/>
      <c r="O296" s="122"/>
      <c r="P296" s="122"/>
      <c r="Q296" s="122"/>
      <c r="R296" s="122"/>
    </row>
    <row r="297" customFormat="false" ht="15" hidden="false" customHeight="false" outlineLevel="0" collapsed="false">
      <c r="B297" s="1" t="s">
        <v>680</v>
      </c>
      <c r="F297" s="55" t="s">
        <v>292</v>
      </c>
      <c r="G297" s="56" t="n">
        <v>2</v>
      </c>
      <c r="H297" s="57" t="n">
        <f aca="false">G297*8/$D$292</f>
        <v>0.177777777777778</v>
      </c>
      <c r="I297" s="28" t="n">
        <v>22.66</v>
      </c>
      <c r="J297" s="28" t="n">
        <f aca="false">H297*I297</f>
        <v>4.02844444444444</v>
      </c>
    </row>
    <row r="298" customFormat="false" ht="15" hidden="false" customHeight="false" outlineLevel="0" collapsed="false">
      <c r="B298" s="1" t="s">
        <v>294</v>
      </c>
      <c r="F298" s="55" t="s">
        <v>292</v>
      </c>
      <c r="G298" s="56" t="n">
        <v>2</v>
      </c>
      <c r="H298" s="57" t="n">
        <f aca="false">G298*8/$D$292</f>
        <v>0.177777777777778</v>
      </c>
      <c r="I298" s="28" t="n">
        <v>20.51</v>
      </c>
      <c r="J298" s="28" t="n">
        <f aca="false">H298*I298</f>
        <v>3.64622222222222</v>
      </c>
    </row>
    <row r="299" customFormat="false" ht="15" hidden="false" customHeight="false" outlineLevel="0" collapsed="false">
      <c r="B299" s="1" t="s">
        <v>653</v>
      </c>
      <c r="F299" s="55" t="s">
        <v>292</v>
      </c>
      <c r="G299" s="56" t="n">
        <v>1</v>
      </c>
      <c r="H299" s="57" t="n">
        <f aca="false">G299*8/$D$292</f>
        <v>0.0888888888888889</v>
      </c>
      <c r="I299" s="1" t="n">
        <v>29.94</v>
      </c>
      <c r="J299" s="28" t="n">
        <f aca="false">H299*I299</f>
        <v>2.66133333333333</v>
      </c>
    </row>
    <row r="300" customFormat="false" ht="15" hidden="false" customHeight="false" outlineLevel="0" collapsed="false">
      <c r="F300" s="55"/>
      <c r="G300" s="56"/>
      <c r="H300" s="57"/>
      <c r="I300" s="28"/>
      <c r="J300" s="86" t="n">
        <f aca="false">SUM(J295:J299)</f>
        <v>13.2171555555556</v>
      </c>
    </row>
    <row r="301" customFormat="false" ht="15" hidden="false" customHeight="false" outlineLevel="0" collapsed="false">
      <c r="B301" s="87" t="s">
        <v>654</v>
      </c>
      <c r="F301" s="55"/>
      <c r="G301" s="56"/>
      <c r="H301" s="57"/>
      <c r="J301" s="28"/>
    </row>
    <row r="302" customFormat="false" ht="15" hidden="false" customHeight="false" outlineLevel="0" collapsed="false">
      <c r="B302" s="1" t="s">
        <v>932</v>
      </c>
      <c r="F302" s="55" t="s">
        <v>297</v>
      </c>
      <c r="G302" s="56"/>
      <c r="H302" s="57" t="n">
        <v>0.006</v>
      </c>
      <c r="I302" s="28" t="n">
        <v>3.51</v>
      </c>
      <c r="J302" s="28" t="n">
        <f aca="false">H302*I302</f>
        <v>0.02106</v>
      </c>
    </row>
    <row r="303" customFormat="false" ht="15" hidden="false" customHeight="false" outlineLevel="0" collapsed="false">
      <c r="B303" s="1" t="s">
        <v>673</v>
      </c>
      <c r="F303" s="55" t="s">
        <v>204</v>
      </c>
      <c r="H303" s="57" t="n">
        <v>0.049</v>
      </c>
      <c r="I303" s="28" t="n">
        <v>55.08</v>
      </c>
      <c r="J303" s="28" t="n">
        <f aca="false">H303*I303</f>
        <v>2.69892</v>
      </c>
    </row>
    <row r="304" customFormat="false" ht="15" hidden="false" customHeight="false" outlineLevel="0" collapsed="false">
      <c r="B304" s="1" t="s">
        <v>896</v>
      </c>
      <c r="F304" s="55" t="s">
        <v>204</v>
      </c>
      <c r="G304" s="56"/>
      <c r="H304" s="57" t="n">
        <v>0.014</v>
      </c>
      <c r="I304" s="28" t="n">
        <v>65</v>
      </c>
      <c r="J304" s="28" t="n">
        <f aca="false">H304*I304</f>
        <v>0.91</v>
      </c>
    </row>
    <row r="305" customFormat="false" ht="15" hidden="false" customHeight="false" outlineLevel="0" collapsed="false">
      <c r="B305" s="1" t="s">
        <v>674</v>
      </c>
      <c r="F305" s="55" t="s">
        <v>204</v>
      </c>
      <c r="H305" s="57" t="n">
        <v>0.048</v>
      </c>
      <c r="I305" s="28" t="n">
        <v>47</v>
      </c>
      <c r="J305" s="28" t="n">
        <f aca="false">H305*I305</f>
        <v>2.256</v>
      </c>
    </row>
    <row r="306" customFormat="false" ht="15" hidden="false" customHeight="false" outlineLevel="0" collapsed="false">
      <c r="B306" s="1" t="s">
        <v>920</v>
      </c>
      <c r="F306" s="55" t="s">
        <v>204</v>
      </c>
      <c r="H306" s="57" t="n">
        <v>0.0021</v>
      </c>
      <c r="I306" s="28" t="n">
        <v>112</v>
      </c>
      <c r="J306" s="28" t="n">
        <f aca="false">H306*I306</f>
        <v>0.2352</v>
      </c>
    </row>
    <row r="307" customFormat="false" ht="15" hidden="false" customHeight="false" outlineLevel="0" collapsed="false">
      <c r="B307" s="1" t="s">
        <v>307</v>
      </c>
      <c r="F307" s="55" t="s">
        <v>308</v>
      </c>
      <c r="H307" s="57" t="n">
        <v>0.995</v>
      </c>
      <c r="I307" s="28" t="n">
        <v>24.52</v>
      </c>
      <c r="J307" s="28" t="n">
        <f aca="false">H307*I307</f>
        <v>24.3974</v>
      </c>
    </row>
    <row r="308" customFormat="false" ht="15" hidden="false" customHeight="false" outlineLevel="0" collapsed="false">
      <c r="B308" s="1" t="s">
        <v>656</v>
      </c>
      <c r="F308" s="55" t="s">
        <v>204</v>
      </c>
      <c r="H308" s="57" t="n">
        <v>0.021</v>
      </c>
      <c r="I308" s="1" t="n">
        <v>6.14</v>
      </c>
      <c r="J308" s="28" t="n">
        <f aca="false">H308*I308</f>
        <v>0.12894</v>
      </c>
    </row>
    <row r="309" customFormat="false" ht="15" hidden="false" customHeight="false" outlineLevel="0" collapsed="false">
      <c r="F309" s="55"/>
      <c r="H309" s="57"/>
      <c r="I309" s="28"/>
      <c r="J309" s="86" t="n">
        <f aca="false">SUM(J302:J308)</f>
        <v>30.64752</v>
      </c>
    </row>
    <row r="310" customFormat="false" ht="15" hidden="false" customHeight="false" outlineLevel="0" collapsed="false">
      <c r="B310" s="87" t="s">
        <v>310</v>
      </c>
    </row>
    <row r="311" customFormat="false" ht="15" hidden="false" customHeight="false" outlineLevel="0" collapsed="false">
      <c r="B311" s="1" t="s">
        <v>311</v>
      </c>
      <c r="F311" s="55" t="s">
        <v>312</v>
      </c>
      <c r="H311" s="57" t="n">
        <v>5</v>
      </c>
      <c r="I311" s="28" t="n">
        <f aca="false">J300</f>
        <v>13.2171555555556</v>
      </c>
      <c r="J311" s="28" t="n">
        <f aca="false">H311%*I311</f>
        <v>0.660857777777778</v>
      </c>
    </row>
    <row r="312" customFormat="false" ht="15" hidden="false" customHeight="false" outlineLevel="0" collapsed="false">
      <c r="B312" s="1" t="s">
        <v>676</v>
      </c>
      <c r="F312" s="55" t="s">
        <v>338</v>
      </c>
      <c r="G312" s="56" t="n">
        <v>1</v>
      </c>
      <c r="H312" s="57" t="n">
        <f aca="false">G312*8/$D$292</f>
        <v>0.0888888888888889</v>
      </c>
      <c r="I312" s="28" t="n">
        <v>7.07</v>
      </c>
      <c r="J312" s="28" t="n">
        <f aca="false">H312*I312</f>
        <v>0.628444444444445</v>
      </c>
    </row>
    <row r="313" customFormat="false" ht="15" hidden="false" customHeight="false" outlineLevel="0" collapsed="false">
      <c r="B313" s="1" t="s">
        <v>933</v>
      </c>
      <c r="F313" s="55" t="s">
        <v>338</v>
      </c>
      <c r="G313" s="56" t="n">
        <v>1</v>
      </c>
      <c r="H313" s="57" t="n">
        <f aca="false">G313*8/$D$292</f>
        <v>0.0888888888888889</v>
      </c>
      <c r="I313" s="28" t="n">
        <v>25.63</v>
      </c>
      <c r="J313" s="28" t="n">
        <f aca="false">H313*I313</f>
        <v>2.27822222222222</v>
      </c>
    </row>
    <row r="314" customFormat="false" ht="15" hidden="false" customHeight="false" outlineLevel="0" collapsed="false">
      <c r="A314" s="60"/>
      <c r="B314" s="60"/>
      <c r="C314" s="60"/>
      <c r="D314" s="60"/>
      <c r="E314" s="60"/>
      <c r="F314" s="60"/>
      <c r="G314" s="60"/>
      <c r="H314" s="60"/>
      <c r="I314" s="60"/>
      <c r="J314" s="89" t="n">
        <f aca="false">SUM(J311:J313)</f>
        <v>3.56752444444444</v>
      </c>
    </row>
    <row r="315" customFormat="false" ht="15" hidden="false" customHeight="false" outlineLevel="0" collapsed="false">
      <c r="J315" s="86"/>
    </row>
    <row r="316" customFormat="false" ht="15" hidden="false" customHeight="false" outlineLevel="0" collapsed="false">
      <c r="J316" s="86"/>
    </row>
    <row r="317" customFormat="false" ht="15" hidden="false" customHeight="false" outlineLevel="0" collapsed="false">
      <c r="A317" s="82" t="s">
        <v>278</v>
      </c>
      <c r="B317" s="82" t="str">
        <f aca="false">ARQUITECTURA!A23</f>
        <v>03.03.05</v>
      </c>
      <c r="C317" s="82" t="s">
        <v>938</v>
      </c>
      <c r="D317" s="82"/>
    </row>
    <row r="318" customFormat="false" ht="15" hidden="false" customHeight="false" outlineLevel="0" collapsed="false">
      <c r="A318" s="82" t="s">
        <v>279</v>
      </c>
      <c r="B318" s="82" t="s">
        <v>280</v>
      </c>
      <c r="C318" s="84" t="s">
        <v>281</v>
      </c>
      <c r="D318" s="85" t="n">
        <v>40</v>
      </c>
      <c r="E318" s="84" t="s">
        <v>282</v>
      </c>
      <c r="F318" s="85" t="n">
        <f aca="false">D318</f>
        <v>40</v>
      </c>
      <c r="G318" s="82" t="s">
        <v>283</v>
      </c>
      <c r="I318" s="84" t="s">
        <v>134</v>
      </c>
      <c r="J318" s="86" t="n">
        <f aca="false">J325+J332+J337</f>
        <v>51.986298</v>
      </c>
    </row>
    <row r="319" customFormat="false" ht="15" hidden="false" customHeight="false" outlineLevel="0" collapsed="false">
      <c r="A319" s="82" t="s">
        <v>284</v>
      </c>
      <c r="B319" s="82" t="s">
        <v>285</v>
      </c>
      <c r="F319" s="84" t="s">
        <v>123</v>
      </c>
      <c r="G319" s="84" t="s">
        <v>286</v>
      </c>
      <c r="H319" s="84" t="n">
        <v>0.0556</v>
      </c>
      <c r="I319" s="84" t="s">
        <v>288</v>
      </c>
      <c r="J319" s="84" t="s">
        <v>289</v>
      </c>
    </row>
    <row r="320" customFormat="false" ht="15" hidden="false" customHeight="false" outlineLevel="0" collapsed="false">
      <c r="B320" s="87" t="s">
        <v>290</v>
      </c>
    </row>
    <row r="321" customFormat="false" ht="15" hidden="false" customHeight="false" outlineLevel="0" collapsed="false">
      <c r="B321" s="1" t="s">
        <v>651</v>
      </c>
      <c r="F321" s="55" t="s">
        <v>292</v>
      </c>
      <c r="G321" s="56" t="n">
        <v>0.1</v>
      </c>
      <c r="H321" s="57" t="n">
        <f aca="false">G321*8/$D$318</f>
        <v>0.02</v>
      </c>
      <c r="I321" s="28" t="n">
        <v>34.73</v>
      </c>
      <c r="J321" s="28" t="n">
        <f aca="false">H321*I321</f>
        <v>0.6946</v>
      </c>
    </row>
    <row r="322" customFormat="false" ht="15" hidden="false" customHeight="false" outlineLevel="0" collapsed="false">
      <c r="B322" s="1" t="s">
        <v>291</v>
      </c>
      <c r="F322" s="55" t="s">
        <v>292</v>
      </c>
      <c r="G322" s="56" t="n">
        <v>1</v>
      </c>
      <c r="H322" s="57" t="n">
        <f aca="false">G322*8/$D$318</f>
        <v>0.2</v>
      </c>
      <c r="I322" s="28" t="n">
        <v>28.94</v>
      </c>
      <c r="J322" s="28" t="n">
        <f aca="false">H322*I322</f>
        <v>5.788</v>
      </c>
    </row>
    <row r="323" customFormat="false" ht="15" hidden="false" customHeight="false" outlineLevel="0" collapsed="false">
      <c r="B323" s="1" t="s">
        <v>680</v>
      </c>
      <c r="F323" s="55" t="s">
        <v>292</v>
      </c>
      <c r="G323" s="56" t="n">
        <v>2</v>
      </c>
      <c r="H323" s="57" t="n">
        <f aca="false">G323*8/$D$318</f>
        <v>0.4</v>
      </c>
      <c r="I323" s="28" t="n">
        <v>22.66</v>
      </c>
      <c r="J323" s="28" t="n">
        <f aca="false">H323*I323</f>
        <v>9.064</v>
      </c>
    </row>
    <row r="324" customFormat="false" ht="15" hidden="false" customHeight="false" outlineLevel="0" collapsed="false">
      <c r="B324" s="1" t="s">
        <v>294</v>
      </c>
      <c r="F324" s="55" t="s">
        <v>292</v>
      </c>
      <c r="G324" s="56" t="n">
        <v>2</v>
      </c>
      <c r="H324" s="57" t="n">
        <f aca="false">G324*8/$D$318</f>
        <v>0.4</v>
      </c>
      <c r="I324" s="28" t="n">
        <v>20.51</v>
      </c>
      <c r="J324" s="28" t="n">
        <f aca="false">H324*I324</f>
        <v>8.204</v>
      </c>
    </row>
    <row r="325" customFormat="false" ht="15" hidden="false" customHeight="false" outlineLevel="0" collapsed="false">
      <c r="F325" s="55"/>
      <c r="G325" s="56"/>
      <c r="H325" s="57"/>
      <c r="I325" s="28"/>
      <c r="J325" s="86" t="n">
        <f aca="false">SUM(J321:J324)</f>
        <v>23.7506</v>
      </c>
    </row>
    <row r="326" customFormat="false" ht="15" hidden="false" customHeight="false" outlineLevel="0" collapsed="false">
      <c r="B326" s="87" t="s">
        <v>654</v>
      </c>
      <c r="F326" s="55"/>
      <c r="G326" s="56"/>
      <c r="H326" s="57"/>
      <c r="J326" s="28"/>
    </row>
    <row r="327" customFormat="false" ht="15" hidden="false" customHeight="false" outlineLevel="0" collapsed="false">
      <c r="B327" s="1" t="s">
        <v>896</v>
      </c>
      <c r="F327" s="55" t="s">
        <v>204</v>
      </c>
      <c r="G327" s="56"/>
      <c r="H327" s="57" t="n">
        <v>0.009</v>
      </c>
      <c r="I327" s="28" t="n">
        <v>65</v>
      </c>
      <c r="J327" s="28" t="n">
        <f aca="false">H327*I327</f>
        <v>0.585</v>
      </c>
    </row>
    <row r="328" customFormat="false" ht="15" hidden="false" customHeight="false" outlineLevel="0" collapsed="false">
      <c r="B328" s="1" t="s">
        <v>674</v>
      </c>
      <c r="F328" s="55" t="s">
        <v>204</v>
      </c>
      <c r="H328" s="57" t="n">
        <v>0.058</v>
      </c>
      <c r="I328" s="28" t="n">
        <v>47</v>
      </c>
      <c r="J328" s="28" t="n">
        <f aca="false">H328*I328</f>
        <v>2.726</v>
      </c>
    </row>
    <row r="329" customFormat="false" ht="15" hidden="false" customHeight="false" outlineLevel="0" collapsed="false">
      <c r="B329" s="1" t="s">
        <v>307</v>
      </c>
      <c r="F329" s="55" t="s">
        <v>308</v>
      </c>
      <c r="H329" s="1" t="n">
        <v>0.482</v>
      </c>
      <c r="I329" s="28" t="n">
        <v>24.52</v>
      </c>
      <c r="J329" s="28" t="n">
        <f aca="false">H329*I329</f>
        <v>11.81864</v>
      </c>
    </row>
    <row r="330" customFormat="false" ht="15" hidden="false" customHeight="false" outlineLevel="0" collapsed="false">
      <c r="B330" s="1" t="s">
        <v>920</v>
      </c>
      <c r="F330" s="55" t="s">
        <v>204</v>
      </c>
      <c r="H330" s="1" t="n">
        <v>0.05</v>
      </c>
      <c r="I330" s="28" t="n">
        <v>112</v>
      </c>
      <c r="J330" s="28" t="n">
        <f aca="false">H330*I330</f>
        <v>5.6</v>
      </c>
    </row>
    <row r="331" customFormat="false" ht="15" hidden="false" customHeight="false" outlineLevel="0" collapsed="false">
      <c r="B331" s="1" t="s">
        <v>656</v>
      </c>
      <c r="F331" s="55" t="s">
        <v>204</v>
      </c>
      <c r="H331" s="57" t="n">
        <v>0.011</v>
      </c>
      <c r="I331" s="1" t="n">
        <v>6.14</v>
      </c>
      <c r="J331" s="28" t="n">
        <f aca="false">H331*I331</f>
        <v>0.06754</v>
      </c>
    </row>
    <row r="332" customFormat="false" ht="15" hidden="false" customHeight="false" outlineLevel="0" collapsed="false">
      <c r="F332" s="55"/>
      <c r="H332" s="57"/>
      <c r="I332" s="28"/>
      <c r="J332" s="86" t="n">
        <f aca="false">SUM(J327:J331)</f>
        <v>20.79718</v>
      </c>
    </row>
    <row r="333" customFormat="false" ht="15" hidden="false" customHeight="false" outlineLevel="0" collapsed="false">
      <c r="B333" s="87" t="s">
        <v>310</v>
      </c>
    </row>
    <row r="334" customFormat="false" ht="15" hidden="false" customHeight="false" outlineLevel="0" collapsed="false">
      <c r="B334" s="1" t="s">
        <v>311</v>
      </c>
      <c r="F334" s="55" t="s">
        <v>312</v>
      </c>
      <c r="H334" s="57" t="n">
        <v>3</v>
      </c>
      <c r="I334" s="28" t="n">
        <f aca="false">J325</f>
        <v>23.7506</v>
      </c>
      <c r="J334" s="28" t="n">
        <f aca="false">H334%*I334</f>
        <v>0.712518</v>
      </c>
    </row>
    <row r="335" customFormat="false" ht="15" hidden="false" customHeight="false" outlineLevel="0" collapsed="false">
      <c r="B335" s="1" t="s">
        <v>939</v>
      </c>
      <c r="F335" s="55" t="s">
        <v>338</v>
      </c>
      <c r="G335" s="56" t="n">
        <v>1</v>
      </c>
      <c r="H335" s="57" t="n">
        <f aca="false">G335*8/$D$318</f>
        <v>0.2</v>
      </c>
      <c r="I335" s="28" t="n">
        <v>8</v>
      </c>
      <c r="J335" s="28" t="n">
        <f aca="false">H335*I335</f>
        <v>1.6</v>
      </c>
    </row>
    <row r="336" customFormat="false" ht="15" hidden="false" customHeight="false" outlineLevel="0" collapsed="false">
      <c r="B336" s="1" t="s">
        <v>933</v>
      </c>
      <c r="F336" s="55" t="s">
        <v>338</v>
      </c>
      <c r="G336" s="56" t="n">
        <v>1</v>
      </c>
      <c r="H336" s="57" t="n">
        <f aca="false">G336*8/$D$318</f>
        <v>0.2</v>
      </c>
      <c r="I336" s="28" t="n">
        <v>25.63</v>
      </c>
      <c r="J336" s="28" t="n">
        <f aca="false">H336*I336</f>
        <v>5.126</v>
      </c>
    </row>
    <row r="337" customFormat="false" ht="15" hidden="false" customHeight="false" outlineLevel="0" collapsed="false">
      <c r="A337" s="60"/>
      <c r="B337" s="60"/>
      <c r="C337" s="60"/>
      <c r="D337" s="60"/>
      <c r="E337" s="60"/>
      <c r="F337" s="60"/>
      <c r="G337" s="60"/>
      <c r="H337" s="60"/>
      <c r="I337" s="60"/>
      <c r="J337" s="89" t="n">
        <f aca="false">SUM(J334:J336)</f>
        <v>7.438518</v>
      </c>
    </row>
    <row r="338" customFormat="false" ht="15" hidden="false" customHeight="false" outlineLevel="0" collapsed="false">
      <c r="J338" s="86"/>
    </row>
    <row r="339" customFormat="false" ht="15" hidden="false" customHeight="false" outlineLevel="0" collapsed="false">
      <c r="A339" s="82" t="s">
        <v>278</v>
      </c>
      <c r="B339" s="82" t="str">
        <f aca="false">ARQUITECTURA!A24</f>
        <v>03.03.06</v>
      </c>
      <c r="C339" s="82" t="s">
        <v>940</v>
      </c>
      <c r="D339" s="82"/>
    </row>
    <row r="340" customFormat="false" ht="15" hidden="false" customHeight="false" outlineLevel="0" collapsed="false">
      <c r="A340" s="82" t="s">
        <v>279</v>
      </c>
      <c r="B340" s="82" t="s">
        <v>280</v>
      </c>
      <c r="C340" s="84" t="s">
        <v>281</v>
      </c>
      <c r="D340" s="85" t="n">
        <v>1</v>
      </c>
      <c r="E340" s="84" t="s">
        <v>282</v>
      </c>
      <c r="F340" s="85" t="n">
        <f aca="false">D340</f>
        <v>1</v>
      </c>
      <c r="G340" s="82" t="s">
        <v>283</v>
      </c>
      <c r="I340" s="84" t="s">
        <v>134</v>
      </c>
      <c r="J340" s="86" t="n">
        <f aca="false">J344</f>
        <v>201.23</v>
      </c>
    </row>
    <row r="341" customFormat="false" ht="15" hidden="false" customHeight="false" outlineLevel="0" collapsed="false">
      <c r="A341" s="82" t="s">
        <v>284</v>
      </c>
      <c r="B341" s="82" t="s">
        <v>285</v>
      </c>
      <c r="F341" s="84" t="s">
        <v>123</v>
      </c>
      <c r="G341" s="84" t="s">
        <v>286</v>
      </c>
      <c r="H341" s="84" t="n">
        <v>0.0556</v>
      </c>
      <c r="I341" s="84" t="s">
        <v>288</v>
      </c>
      <c r="J341" s="84" t="s">
        <v>289</v>
      </c>
    </row>
    <row r="342" customFormat="false" ht="15" hidden="false" customHeight="false" outlineLevel="0" collapsed="false">
      <c r="B342" s="87" t="s">
        <v>654</v>
      </c>
    </row>
    <row r="343" customFormat="false" ht="15" hidden="false" customHeight="false" outlineLevel="0" collapsed="false">
      <c r="B343" s="1" t="s">
        <v>941</v>
      </c>
      <c r="F343" s="55" t="s">
        <v>134</v>
      </c>
      <c r="G343" s="56"/>
      <c r="H343" s="57" t="n">
        <v>1</v>
      </c>
      <c r="I343" s="28" t="n">
        <v>201.23</v>
      </c>
      <c r="J343" s="28" t="n">
        <f aca="false">H343*I343</f>
        <v>201.23</v>
      </c>
    </row>
    <row r="344" customFormat="false" ht="15" hidden="false" customHeight="false" outlineLevel="0" collapsed="false">
      <c r="A344" s="60"/>
      <c r="B344" s="60"/>
      <c r="C344" s="60"/>
      <c r="D344" s="60"/>
      <c r="E344" s="60"/>
      <c r="F344" s="60"/>
      <c r="G344" s="60"/>
      <c r="H344" s="60"/>
      <c r="I344" s="60"/>
      <c r="J344" s="89" t="n">
        <f aca="false">SUM(J343)</f>
        <v>201.23</v>
      </c>
    </row>
    <row r="345" customFormat="false" ht="15" hidden="false" customHeight="false" outlineLevel="0" collapsed="false">
      <c r="J345" s="86"/>
    </row>
    <row r="346" customFormat="false" ht="15" hidden="false" customHeight="false" outlineLevel="0" collapsed="false">
      <c r="A346" s="82" t="s">
        <v>278</v>
      </c>
      <c r="B346" s="82" t="str">
        <f aca="false">ARQUITECTURA!A26</f>
        <v>03.04.01</v>
      </c>
      <c r="C346" s="82" t="s">
        <v>798</v>
      </c>
      <c r="D346" s="82"/>
    </row>
    <row r="347" customFormat="false" ht="15" hidden="false" customHeight="false" outlineLevel="0" collapsed="false">
      <c r="A347" s="82" t="s">
        <v>279</v>
      </c>
      <c r="B347" s="82" t="s">
        <v>314</v>
      </c>
      <c r="C347" s="84" t="s">
        <v>281</v>
      </c>
      <c r="D347" s="85" t="n">
        <v>20</v>
      </c>
      <c r="E347" s="84" t="s">
        <v>282</v>
      </c>
      <c r="F347" s="85" t="n">
        <f aca="false">D347</f>
        <v>20</v>
      </c>
      <c r="G347" s="82" t="s">
        <v>283</v>
      </c>
      <c r="I347" s="84" t="s">
        <v>145</v>
      </c>
      <c r="J347" s="86" t="n">
        <f aca="false">J353+J358+J361</f>
        <v>20.56998</v>
      </c>
    </row>
    <row r="348" customFormat="false" ht="15" hidden="false" customHeight="false" outlineLevel="0" collapsed="false">
      <c r="A348" s="82" t="s">
        <v>284</v>
      </c>
      <c r="B348" s="82" t="s">
        <v>285</v>
      </c>
      <c r="F348" s="84" t="s">
        <v>123</v>
      </c>
      <c r="G348" s="84" t="s">
        <v>286</v>
      </c>
      <c r="H348" s="84" t="n">
        <v>0.0556</v>
      </c>
      <c r="I348" s="84" t="s">
        <v>288</v>
      </c>
      <c r="J348" s="84" t="s">
        <v>289</v>
      </c>
    </row>
    <row r="349" customFormat="false" ht="15" hidden="false" customHeight="false" outlineLevel="0" collapsed="false">
      <c r="B349" s="87" t="s">
        <v>290</v>
      </c>
    </row>
    <row r="350" customFormat="false" ht="15" hidden="false" customHeight="false" outlineLevel="0" collapsed="false">
      <c r="B350" s="1" t="s">
        <v>651</v>
      </c>
      <c r="F350" s="55" t="s">
        <v>292</v>
      </c>
      <c r="G350" s="56" t="n">
        <v>0.1</v>
      </c>
      <c r="H350" s="57" t="n">
        <f aca="false">G350*8/$D$347</f>
        <v>0.04</v>
      </c>
      <c r="I350" s="28" t="n">
        <v>34.73</v>
      </c>
      <c r="J350" s="28" t="n">
        <f aca="false">H350*I350</f>
        <v>1.3892</v>
      </c>
    </row>
    <row r="351" customFormat="false" ht="15" hidden="false" customHeight="false" outlineLevel="0" collapsed="false">
      <c r="B351" s="1" t="s">
        <v>291</v>
      </c>
      <c r="F351" s="55" t="s">
        <v>292</v>
      </c>
      <c r="G351" s="56" t="n">
        <v>1</v>
      </c>
      <c r="H351" s="57" t="n">
        <f aca="false">G351*8/$D$347</f>
        <v>0.4</v>
      </c>
      <c r="I351" s="28" t="n">
        <v>28.94</v>
      </c>
      <c r="J351" s="28" t="n">
        <f aca="false">H351*I351</f>
        <v>11.576</v>
      </c>
    </row>
    <row r="352" customFormat="false" ht="15" hidden="false" customHeight="false" outlineLevel="0" collapsed="false">
      <c r="B352" s="1" t="s">
        <v>294</v>
      </c>
      <c r="F352" s="55" t="s">
        <v>292</v>
      </c>
      <c r="G352" s="56" t="n">
        <v>0.3</v>
      </c>
      <c r="H352" s="57" t="n">
        <f aca="false">G352*8/$D$347</f>
        <v>0.12</v>
      </c>
      <c r="I352" s="28" t="n">
        <v>20.51</v>
      </c>
      <c r="J352" s="28" t="n">
        <f aca="false">H352*I352</f>
        <v>2.4612</v>
      </c>
    </row>
    <row r="353" customFormat="false" ht="15" hidden="false" customHeight="false" outlineLevel="0" collapsed="false">
      <c r="F353" s="55"/>
      <c r="G353" s="56"/>
      <c r="H353" s="57"/>
      <c r="I353" s="28"/>
      <c r="J353" s="86" t="n">
        <f aca="false">SUM(J350:J352)</f>
        <v>15.4264</v>
      </c>
    </row>
    <row r="354" customFormat="false" ht="15" hidden="false" customHeight="false" outlineLevel="0" collapsed="false">
      <c r="B354" s="87" t="s">
        <v>654</v>
      </c>
      <c r="F354" s="55"/>
      <c r="G354" s="56"/>
      <c r="H354" s="57"/>
      <c r="J354" s="28"/>
    </row>
    <row r="355" customFormat="false" ht="15" hidden="false" customHeight="false" outlineLevel="0" collapsed="false">
      <c r="B355" s="1" t="s">
        <v>942</v>
      </c>
      <c r="F355" s="55" t="s">
        <v>432</v>
      </c>
      <c r="H355" s="57" t="n">
        <v>0.35</v>
      </c>
      <c r="I355" s="28" t="n">
        <v>12.5</v>
      </c>
      <c r="J355" s="28" t="n">
        <f aca="false">H355*I355</f>
        <v>4.375</v>
      </c>
    </row>
    <row r="356" customFormat="false" ht="15" hidden="false" customHeight="false" outlineLevel="0" collapsed="false">
      <c r="B356" s="1" t="s">
        <v>920</v>
      </c>
      <c r="F356" s="55" t="s">
        <v>150</v>
      </c>
      <c r="H356" s="57" t="n">
        <v>0.0025</v>
      </c>
      <c r="I356" s="28" t="n">
        <v>112</v>
      </c>
      <c r="J356" s="28" t="n">
        <f aca="false">H356*I356</f>
        <v>0.28</v>
      </c>
    </row>
    <row r="357" customFormat="false" ht="15" hidden="false" customHeight="false" outlineLevel="0" collapsed="false">
      <c r="B357" s="1" t="s">
        <v>665</v>
      </c>
      <c r="F357" s="55" t="s">
        <v>204</v>
      </c>
      <c r="H357" s="57" t="n">
        <v>0.0042</v>
      </c>
      <c r="I357" s="28" t="n">
        <v>6.14</v>
      </c>
      <c r="J357" s="28" t="n">
        <f aca="false">H357*I357</f>
        <v>0.025788</v>
      </c>
    </row>
    <row r="358" customFormat="false" ht="15" hidden="false" customHeight="false" outlineLevel="0" collapsed="false">
      <c r="F358" s="55"/>
      <c r="H358" s="57"/>
      <c r="I358" s="28"/>
      <c r="J358" s="86" t="n">
        <f aca="false">SUM(J355:J357)</f>
        <v>4.680788</v>
      </c>
    </row>
    <row r="359" customFormat="false" ht="15" hidden="false" customHeight="false" outlineLevel="0" collapsed="false">
      <c r="B359" s="87" t="s">
        <v>310</v>
      </c>
    </row>
    <row r="360" customFormat="false" ht="15" hidden="false" customHeight="false" outlineLevel="0" collapsed="false">
      <c r="B360" s="1" t="s">
        <v>311</v>
      </c>
      <c r="F360" s="55" t="s">
        <v>312</v>
      </c>
      <c r="H360" s="57" t="n">
        <v>3</v>
      </c>
      <c r="I360" s="28" t="n">
        <f aca="false">J353</f>
        <v>15.4264</v>
      </c>
      <c r="J360" s="28" t="n">
        <f aca="false">H360%*I360</f>
        <v>0.462792</v>
      </c>
    </row>
    <row r="361" customFormat="false" ht="15" hidden="false" customHeight="false" outlineLevel="0" collapsed="false">
      <c r="A361" s="60"/>
      <c r="B361" s="60"/>
      <c r="C361" s="60"/>
      <c r="D361" s="60"/>
      <c r="E361" s="60"/>
      <c r="F361" s="60"/>
      <c r="G361" s="60"/>
      <c r="H361" s="60"/>
      <c r="I361" s="60"/>
      <c r="J361" s="89" t="n">
        <f aca="false">SUM(J360:J360)</f>
        <v>0.462792</v>
      </c>
    </row>
    <row r="363" customFormat="false" ht="15" hidden="false" customHeight="false" outlineLevel="0" collapsed="false">
      <c r="A363" s="82" t="s">
        <v>278</v>
      </c>
      <c r="B363" s="82" t="str">
        <f aca="false">ARQUITECTURA!A27</f>
        <v>03.04.02</v>
      </c>
      <c r="C363" s="82" t="s">
        <v>800</v>
      </c>
      <c r="D363" s="82"/>
    </row>
    <row r="364" customFormat="false" ht="15" hidden="false" customHeight="false" outlineLevel="0" collapsed="false">
      <c r="A364" s="82" t="s">
        <v>279</v>
      </c>
      <c r="B364" s="82" t="s">
        <v>314</v>
      </c>
      <c r="C364" s="84" t="s">
        <v>281</v>
      </c>
      <c r="D364" s="85" t="n">
        <v>20</v>
      </c>
      <c r="E364" s="84" t="s">
        <v>282</v>
      </c>
      <c r="F364" s="85" t="n">
        <f aca="false">D364</f>
        <v>20</v>
      </c>
      <c r="G364" s="82" t="s">
        <v>283</v>
      </c>
      <c r="I364" s="84" t="s">
        <v>145</v>
      </c>
      <c r="J364" s="86" t="n">
        <f aca="false">J370+J377+J380</f>
        <v>26.68748</v>
      </c>
    </row>
    <row r="365" customFormat="false" ht="15" hidden="false" customHeight="false" outlineLevel="0" collapsed="false">
      <c r="A365" s="82" t="s">
        <v>284</v>
      </c>
      <c r="B365" s="82" t="s">
        <v>285</v>
      </c>
      <c r="F365" s="84" t="s">
        <v>123</v>
      </c>
      <c r="G365" s="84" t="s">
        <v>286</v>
      </c>
      <c r="H365" s="84" t="n">
        <v>0.0556</v>
      </c>
      <c r="I365" s="84" t="s">
        <v>288</v>
      </c>
      <c r="J365" s="84" t="s">
        <v>289</v>
      </c>
    </row>
    <row r="366" customFormat="false" ht="15" hidden="false" customHeight="false" outlineLevel="0" collapsed="false">
      <c r="B366" s="87" t="s">
        <v>290</v>
      </c>
    </row>
    <row r="367" customFormat="false" ht="15" hidden="false" customHeight="false" outlineLevel="0" collapsed="false">
      <c r="B367" s="1" t="s">
        <v>651</v>
      </c>
      <c r="F367" s="55" t="s">
        <v>292</v>
      </c>
      <c r="G367" s="56" t="n">
        <v>0.1</v>
      </c>
      <c r="H367" s="57" t="n">
        <f aca="false">G367*8/$D$364</f>
        <v>0.04</v>
      </c>
      <c r="I367" s="28" t="n">
        <v>34.73</v>
      </c>
      <c r="J367" s="28" t="n">
        <f aca="false">H367*I367</f>
        <v>1.3892</v>
      </c>
    </row>
    <row r="368" customFormat="false" ht="15" hidden="false" customHeight="false" outlineLevel="0" collapsed="false">
      <c r="B368" s="1" t="s">
        <v>291</v>
      </c>
      <c r="F368" s="55" t="s">
        <v>292</v>
      </c>
      <c r="G368" s="56" t="n">
        <v>1</v>
      </c>
      <c r="H368" s="57" t="n">
        <f aca="false">G368*8/$D$364</f>
        <v>0.4</v>
      </c>
      <c r="I368" s="28" t="n">
        <v>28.94</v>
      </c>
      <c r="J368" s="28" t="n">
        <f aca="false">H368*I368</f>
        <v>11.576</v>
      </c>
    </row>
    <row r="369" customFormat="false" ht="15" hidden="false" customHeight="false" outlineLevel="0" collapsed="false">
      <c r="B369" s="1" t="s">
        <v>294</v>
      </c>
      <c r="F369" s="55" t="s">
        <v>292</v>
      </c>
      <c r="G369" s="56" t="n">
        <v>0.3</v>
      </c>
      <c r="H369" s="57" t="n">
        <f aca="false">G369*8/$D$364</f>
        <v>0.12</v>
      </c>
      <c r="I369" s="28" t="n">
        <v>20.51</v>
      </c>
      <c r="J369" s="28" t="n">
        <f aca="false">H369*I369</f>
        <v>2.4612</v>
      </c>
    </row>
    <row r="370" customFormat="false" ht="15" hidden="false" customHeight="false" outlineLevel="0" collapsed="false">
      <c r="F370" s="55"/>
      <c r="G370" s="56"/>
      <c r="H370" s="57"/>
      <c r="I370" s="28"/>
      <c r="J370" s="86" t="n">
        <f aca="false">SUM(J367:J369)</f>
        <v>15.4264</v>
      </c>
    </row>
    <row r="371" customFormat="false" ht="15" hidden="false" customHeight="false" outlineLevel="0" collapsed="false">
      <c r="B371" s="87" t="s">
        <v>654</v>
      </c>
      <c r="F371" s="55"/>
      <c r="G371" s="56"/>
      <c r="H371" s="57"/>
      <c r="J371" s="28"/>
    </row>
    <row r="372" customFormat="false" ht="15" hidden="false" customHeight="false" outlineLevel="0" collapsed="false">
      <c r="B372" s="1" t="s">
        <v>942</v>
      </c>
      <c r="F372" s="55" t="s">
        <v>432</v>
      </c>
      <c r="H372" s="57" t="n">
        <v>0.3508</v>
      </c>
      <c r="I372" s="28" t="n">
        <v>12.5</v>
      </c>
      <c r="J372" s="28" t="n">
        <f aca="false">H372*I372</f>
        <v>4.385</v>
      </c>
    </row>
    <row r="373" customFormat="false" ht="15" hidden="false" customHeight="false" outlineLevel="0" collapsed="false">
      <c r="B373" s="1" t="s">
        <v>943</v>
      </c>
      <c r="F373" s="55" t="s">
        <v>944</v>
      </c>
      <c r="H373" s="57" t="n">
        <v>0.0127</v>
      </c>
      <c r="I373" s="28" t="n">
        <v>125</v>
      </c>
      <c r="J373" s="28" t="n">
        <f aca="false">H373*I373</f>
        <v>1.5875</v>
      </c>
    </row>
    <row r="374" customFormat="false" ht="15" hidden="false" customHeight="false" outlineLevel="0" collapsed="false">
      <c r="B374" s="1" t="s">
        <v>945</v>
      </c>
      <c r="F374" s="55" t="s">
        <v>297</v>
      </c>
      <c r="H374" s="57" t="n">
        <v>0.8</v>
      </c>
      <c r="I374" s="28" t="n">
        <v>2.5</v>
      </c>
      <c r="J374" s="28" t="n">
        <f aca="false">H374*I374</f>
        <v>2</v>
      </c>
    </row>
    <row r="375" customFormat="false" ht="15" hidden="false" customHeight="false" outlineLevel="0" collapsed="false">
      <c r="B375" s="1" t="s">
        <v>920</v>
      </c>
      <c r="F375" s="55" t="s">
        <v>150</v>
      </c>
      <c r="H375" s="1" t="n">
        <v>0.025</v>
      </c>
      <c r="I375" s="28" t="n">
        <v>112</v>
      </c>
      <c r="J375" s="28" t="n">
        <f aca="false">H375*I375</f>
        <v>2.8</v>
      </c>
    </row>
    <row r="376" customFormat="false" ht="15" hidden="false" customHeight="false" outlineLevel="0" collapsed="false">
      <c r="B376" s="1" t="s">
        <v>665</v>
      </c>
      <c r="F376" s="55" t="s">
        <v>204</v>
      </c>
      <c r="H376" s="1" t="n">
        <v>0.0042</v>
      </c>
      <c r="I376" s="1" t="n">
        <v>6.14</v>
      </c>
      <c r="J376" s="28" t="n">
        <f aca="false">H376*I376</f>
        <v>0.025788</v>
      </c>
    </row>
    <row r="377" customFormat="false" ht="15" hidden="false" customHeight="false" outlineLevel="0" collapsed="false">
      <c r="F377" s="55"/>
      <c r="H377" s="57"/>
      <c r="I377" s="28"/>
      <c r="J377" s="86" t="n">
        <f aca="false">SUM(J372:J376)</f>
        <v>10.798288</v>
      </c>
    </row>
    <row r="378" customFormat="false" ht="15" hidden="false" customHeight="false" outlineLevel="0" collapsed="false">
      <c r="B378" s="87" t="s">
        <v>310</v>
      </c>
    </row>
    <row r="379" customFormat="false" ht="15" hidden="false" customHeight="false" outlineLevel="0" collapsed="false">
      <c r="B379" s="1" t="s">
        <v>311</v>
      </c>
      <c r="F379" s="55" t="s">
        <v>312</v>
      </c>
      <c r="H379" s="57" t="n">
        <v>3</v>
      </c>
      <c r="I379" s="28" t="n">
        <f aca="false">J370</f>
        <v>15.4264</v>
      </c>
      <c r="J379" s="28" t="n">
        <f aca="false">H379%*I379</f>
        <v>0.462792</v>
      </c>
    </row>
    <row r="380" customFormat="false" ht="15" hidden="false" customHeight="false" outlineLevel="0" collapsed="false">
      <c r="A380" s="60"/>
      <c r="B380" s="60"/>
      <c r="C380" s="60"/>
      <c r="D380" s="60"/>
      <c r="E380" s="60"/>
      <c r="F380" s="60"/>
      <c r="G380" s="60"/>
      <c r="H380" s="60"/>
      <c r="I380" s="60"/>
      <c r="J380" s="89" t="n">
        <f aca="false">SUM(J379:J379)</f>
        <v>0.462792</v>
      </c>
    </row>
    <row r="382" customFormat="false" ht="15" hidden="false" customHeight="false" outlineLevel="0" collapsed="false">
      <c r="A382" s="82" t="s">
        <v>278</v>
      </c>
      <c r="B382" s="82" t="str">
        <f aca="false">ARQUITECTURA!A28</f>
        <v>03.04.03</v>
      </c>
      <c r="C382" s="82" t="s">
        <v>802</v>
      </c>
      <c r="D382" s="82"/>
    </row>
    <row r="383" customFormat="false" ht="15" hidden="false" customHeight="false" outlineLevel="0" collapsed="false">
      <c r="A383" s="82" t="s">
        <v>279</v>
      </c>
      <c r="B383" s="82" t="s">
        <v>314</v>
      </c>
      <c r="C383" s="84" t="s">
        <v>281</v>
      </c>
      <c r="D383" s="85" t="n">
        <v>20</v>
      </c>
      <c r="E383" s="84" t="s">
        <v>282</v>
      </c>
      <c r="F383" s="85" t="n">
        <f aca="false">D383</f>
        <v>20</v>
      </c>
      <c r="G383" s="82" t="s">
        <v>283</v>
      </c>
      <c r="I383" s="84" t="s">
        <v>145</v>
      </c>
      <c r="J383" s="86" t="n">
        <f aca="false">J389+J397+J400</f>
        <v>36.537022</v>
      </c>
    </row>
    <row r="384" customFormat="false" ht="15" hidden="false" customHeight="false" outlineLevel="0" collapsed="false">
      <c r="A384" s="82" t="s">
        <v>284</v>
      </c>
      <c r="B384" s="82" t="s">
        <v>285</v>
      </c>
      <c r="F384" s="84" t="s">
        <v>123</v>
      </c>
      <c r="G384" s="84" t="s">
        <v>286</v>
      </c>
      <c r="H384" s="84" t="n">
        <v>0.0556</v>
      </c>
      <c r="I384" s="84" t="s">
        <v>288</v>
      </c>
      <c r="J384" s="84" t="s">
        <v>289</v>
      </c>
    </row>
    <row r="385" customFormat="false" ht="15" hidden="false" customHeight="false" outlineLevel="0" collapsed="false">
      <c r="B385" s="87" t="s">
        <v>290</v>
      </c>
    </row>
    <row r="386" customFormat="false" ht="15" hidden="false" customHeight="false" outlineLevel="0" collapsed="false">
      <c r="B386" s="1" t="s">
        <v>651</v>
      </c>
      <c r="F386" s="55" t="s">
        <v>292</v>
      </c>
      <c r="G386" s="56" t="n">
        <v>0.1</v>
      </c>
      <c r="H386" s="57" t="n">
        <f aca="false">G386*8/$D$383</f>
        <v>0.04</v>
      </c>
      <c r="I386" s="28" t="n">
        <v>34.73</v>
      </c>
      <c r="J386" s="28" t="n">
        <f aca="false">H386*I386</f>
        <v>1.3892</v>
      </c>
    </row>
    <row r="387" customFormat="false" ht="15" hidden="false" customHeight="false" outlineLevel="0" collapsed="false">
      <c r="B387" s="1" t="s">
        <v>291</v>
      </c>
      <c r="F387" s="55" t="s">
        <v>292</v>
      </c>
      <c r="G387" s="56" t="n">
        <v>1</v>
      </c>
      <c r="H387" s="57" t="n">
        <f aca="false">G387*8/$D$383</f>
        <v>0.4</v>
      </c>
      <c r="I387" s="28" t="n">
        <v>28.94</v>
      </c>
      <c r="J387" s="28" t="n">
        <f aca="false">H387*I387</f>
        <v>11.576</v>
      </c>
    </row>
    <row r="388" customFormat="false" ht="15" hidden="false" customHeight="false" outlineLevel="0" collapsed="false">
      <c r="B388" s="1" t="s">
        <v>294</v>
      </c>
      <c r="F388" s="55" t="s">
        <v>292</v>
      </c>
      <c r="G388" s="56" t="n">
        <v>2</v>
      </c>
      <c r="H388" s="57" t="n">
        <f aca="false">G388*8/$D$383</f>
        <v>0.8</v>
      </c>
      <c r="I388" s="28" t="n">
        <v>20.51</v>
      </c>
      <c r="J388" s="28" t="n">
        <f aca="false">H388*I388</f>
        <v>16.408</v>
      </c>
    </row>
    <row r="389" customFormat="false" ht="15" hidden="false" customHeight="false" outlineLevel="0" collapsed="false">
      <c r="F389" s="55"/>
      <c r="G389" s="56"/>
      <c r="H389" s="57"/>
      <c r="I389" s="28"/>
      <c r="J389" s="86" t="n">
        <f aca="false">SUM(J386:J388)</f>
        <v>29.3732</v>
      </c>
    </row>
    <row r="390" customFormat="false" ht="15" hidden="false" customHeight="false" outlineLevel="0" collapsed="false">
      <c r="B390" s="87" t="s">
        <v>654</v>
      </c>
      <c r="F390" s="55"/>
      <c r="G390" s="56"/>
      <c r="H390" s="57"/>
      <c r="J390" s="28"/>
    </row>
    <row r="391" customFormat="false" ht="15" hidden="false" customHeight="false" outlineLevel="0" collapsed="false">
      <c r="B391" s="1" t="s">
        <v>916</v>
      </c>
      <c r="F391" s="55" t="s">
        <v>297</v>
      </c>
      <c r="H391" s="57" t="n">
        <v>0.063</v>
      </c>
      <c r="I391" s="28" t="n">
        <v>7.4</v>
      </c>
      <c r="J391" s="28" t="n">
        <f aca="false">H391*I391</f>
        <v>0.4662</v>
      </c>
    </row>
    <row r="392" customFormat="false" ht="15" hidden="false" customHeight="false" outlineLevel="0" collapsed="false">
      <c r="B392" s="1" t="s">
        <v>934</v>
      </c>
      <c r="F392" s="55" t="s">
        <v>935</v>
      </c>
      <c r="H392" s="57" t="n">
        <v>0.05</v>
      </c>
      <c r="I392" s="28" t="n">
        <v>22.9</v>
      </c>
      <c r="J392" s="28" t="n">
        <f aca="false">H392*I392</f>
        <v>1.145</v>
      </c>
    </row>
    <row r="393" customFormat="false" ht="15" hidden="false" customHeight="false" outlineLevel="0" collapsed="false">
      <c r="B393" s="1" t="s">
        <v>936</v>
      </c>
      <c r="F393" s="55" t="s">
        <v>134</v>
      </c>
      <c r="H393" s="57" t="n">
        <v>0.115</v>
      </c>
      <c r="I393" s="28" t="n">
        <v>38.9</v>
      </c>
      <c r="J393" s="28" t="n">
        <f aca="false">H393*I393</f>
        <v>4.4735</v>
      </c>
    </row>
    <row r="394" customFormat="false" ht="15" hidden="false" customHeight="false" outlineLevel="0" collapsed="false">
      <c r="B394" s="1" t="s">
        <v>937</v>
      </c>
      <c r="F394" s="55" t="s">
        <v>432</v>
      </c>
      <c r="H394" s="57" t="n">
        <v>0.02</v>
      </c>
      <c r="I394" s="28" t="n">
        <v>8.5</v>
      </c>
      <c r="J394" s="28" t="n">
        <f aca="false">H394*I394</f>
        <v>0.17</v>
      </c>
    </row>
    <row r="395" customFormat="false" ht="15" hidden="false" customHeight="false" outlineLevel="0" collapsed="false">
      <c r="B395" s="1" t="s">
        <v>920</v>
      </c>
      <c r="F395" s="55" t="s">
        <v>150</v>
      </c>
      <c r="H395" s="57" t="n">
        <v>0.0002</v>
      </c>
      <c r="I395" s="28" t="n">
        <v>112</v>
      </c>
      <c r="J395" s="28" t="n">
        <f aca="false">H395*I395</f>
        <v>0.0224</v>
      </c>
    </row>
    <row r="396" customFormat="false" ht="15" hidden="false" customHeight="false" outlineLevel="0" collapsed="false">
      <c r="B396" s="1" t="s">
        <v>665</v>
      </c>
      <c r="F396" s="55" t="s">
        <v>204</v>
      </c>
      <c r="H396" s="57" t="n">
        <v>0.0009</v>
      </c>
      <c r="I396" s="28" t="n">
        <v>6.14</v>
      </c>
      <c r="J396" s="28" t="n">
        <f aca="false">H396*I396</f>
        <v>0.005526</v>
      </c>
    </row>
    <row r="397" customFormat="false" ht="15" hidden="false" customHeight="false" outlineLevel="0" collapsed="false">
      <c r="F397" s="55"/>
      <c r="H397" s="57"/>
      <c r="I397" s="28"/>
      <c r="J397" s="86" t="n">
        <f aca="false">SUM(J391:J396)</f>
        <v>6.282626</v>
      </c>
    </row>
    <row r="398" customFormat="false" ht="15" hidden="false" customHeight="false" outlineLevel="0" collapsed="false">
      <c r="B398" s="87" t="s">
        <v>310</v>
      </c>
    </row>
    <row r="399" customFormat="false" ht="15" hidden="false" customHeight="false" outlineLevel="0" collapsed="false">
      <c r="B399" s="1" t="s">
        <v>311</v>
      </c>
      <c r="F399" s="55" t="s">
        <v>312</v>
      </c>
      <c r="H399" s="57" t="n">
        <v>3</v>
      </c>
      <c r="I399" s="28" t="n">
        <f aca="false">J389</f>
        <v>29.3732</v>
      </c>
      <c r="J399" s="28" t="n">
        <f aca="false">H399%*I399</f>
        <v>0.881196</v>
      </c>
    </row>
    <row r="400" customFormat="false" ht="15" hidden="false" customHeight="false" outlineLevel="0" collapsed="false">
      <c r="A400" s="60"/>
      <c r="B400" s="60"/>
      <c r="C400" s="60"/>
      <c r="D400" s="60"/>
      <c r="E400" s="60"/>
      <c r="F400" s="60"/>
      <c r="G400" s="60"/>
      <c r="H400" s="60"/>
      <c r="I400" s="60"/>
      <c r="J400" s="89" t="n">
        <f aca="false">SUM(J399:J399)</f>
        <v>0.881196</v>
      </c>
    </row>
    <row r="402" customFormat="false" ht="15" hidden="false" customHeight="false" outlineLevel="0" collapsed="false">
      <c r="A402" s="82" t="s">
        <v>278</v>
      </c>
      <c r="B402" s="82" t="str">
        <f aca="false">ARQUITECTURA!A29</f>
        <v>03.04.04</v>
      </c>
      <c r="C402" s="82" t="s">
        <v>804</v>
      </c>
      <c r="D402" s="82"/>
    </row>
    <row r="403" customFormat="false" ht="15" hidden="false" customHeight="false" outlineLevel="0" collapsed="false">
      <c r="A403" s="82" t="s">
        <v>279</v>
      </c>
      <c r="B403" s="82" t="s">
        <v>314</v>
      </c>
      <c r="C403" s="84" t="s">
        <v>281</v>
      </c>
      <c r="D403" s="85" t="n">
        <v>8</v>
      </c>
      <c r="E403" s="84" t="s">
        <v>282</v>
      </c>
      <c r="F403" s="85" t="n">
        <f aca="false">D403</f>
        <v>8</v>
      </c>
      <c r="G403" s="82" t="s">
        <v>283</v>
      </c>
      <c r="I403" s="84" t="s">
        <v>145</v>
      </c>
      <c r="J403" s="86" t="n">
        <f aca="false">J407</f>
        <v>25</v>
      </c>
    </row>
    <row r="404" customFormat="false" ht="15" hidden="false" customHeight="false" outlineLevel="0" collapsed="false">
      <c r="A404" s="82" t="s">
        <v>284</v>
      </c>
      <c r="B404" s="82" t="s">
        <v>285</v>
      </c>
      <c r="F404" s="84" t="s">
        <v>123</v>
      </c>
      <c r="G404" s="84" t="s">
        <v>286</v>
      </c>
      <c r="H404" s="84" t="n">
        <v>0.0556</v>
      </c>
      <c r="I404" s="84" t="s">
        <v>288</v>
      </c>
      <c r="J404" s="84" t="s">
        <v>289</v>
      </c>
    </row>
    <row r="405" customFormat="false" ht="15" hidden="false" customHeight="false" outlineLevel="0" collapsed="false">
      <c r="B405" s="87" t="s">
        <v>295</v>
      </c>
    </row>
    <row r="406" customFormat="false" ht="15" hidden="false" customHeight="false" outlineLevel="0" collapsed="false">
      <c r="B406" s="1" t="s">
        <v>804</v>
      </c>
      <c r="F406" s="55" t="s">
        <v>145</v>
      </c>
      <c r="G406" s="56"/>
      <c r="H406" s="57" t="n">
        <v>1</v>
      </c>
      <c r="I406" s="28" t="n">
        <v>25</v>
      </c>
      <c r="J406" s="28" t="n">
        <f aca="false">H406*I406</f>
        <v>25</v>
      </c>
    </row>
    <row r="407" customFormat="false" ht="15" hidden="false" customHeight="false" outlineLevel="0" collapsed="false">
      <c r="A407" s="60"/>
      <c r="B407" s="60"/>
      <c r="C407" s="60"/>
      <c r="D407" s="60"/>
      <c r="E407" s="60"/>
      <c r="F407" s="60"/>
      <c r="G407" s="60"/>
      <c r="H407" s="60"/>
      <c r="I407" s="60"/>
      <c r="J407" s="89" t="n">
        <f aca="false">SUM(J406:J406)</f>
        <v>25</v>
      </c>
    </row>
    <row r="408" customFormat="false" ht="15" hidden="false" customHeight="false" outlineLevel="0" collapsed="false">
      <c r="J408" s="86"/>
    </row>
    <row r="409" customFormat="false" ht="15" hidden="false" customHeight="false" outlineLevel="0" collapsed="false">
      <c r="A409" s="82" t="s">
        <v>278</v>
      </c>
      <c r="B409" s="82" t="str">
        <f aca="false">ARQUITECTURA!A30</f>
        <v>03.04.05</v>
      </c>
      <c r="C409" s="82" t="s">
        <v>806</v>
      </c>
      <c r="D409" s="82"/>
    </row>
    <row r="410" customFormat="false" ht="15" hidden="false" customHeight="false" outlineLevel="0" collapsed="false">
      <c r="A410" s="82" t="s">
        <v>279</v>
      </c>
      <c r="B410" s="82" t="s">
        <v>314</v>
      </c>
      <c r="C410" s="84" t="s">
        <v>281</v>
      </c>
      <c r="D410" s="85" t="n">
        <v>12</v>
      </c>
      <c r="E410" s="84" t="s">
        <v>282</v>
      </c>
      <c r="F410" s="85" t="n">
        <f aca="false">D410</f>
        <v>12</v>
      </c>
      <c r="G410" s="82" t="s">
        <v>283</v>
      </c>
      <c r="I410" s="84" t="s">
        <v>145</v>
      </c>
      <c r="J410" s="86" t="n">
        <f aca="false">J416+J424+J427</f>
        <v>44.1927466666667</v>
      </c>
    </row>
    <row r="411" customFormat="false" ht="15" hidden="false" customHeight="false" outlineLevel="0" collapsed="false">
      <c r="A411" s="82" t="s">
        <v>284</v>
      </c>
      <c r="B411" s="82" t="s">
        <v>285</v>
      </c>
      <c r="F411" s="84" t="s">
        <v>123</v>
      </c>
      <c r="G411" s="84" t="s">
        <v>286</v>
      </c>
      <c r="H411" s="84" t="n">
        <v>0.0556</v>
      </c>
      <c r="I411" s="84" t="s">
        <v>288</v>
      </c>
      <c r="J411" s="84" t="s">
        <v>289</v>
      </c>
    </row>
    <row r="412" customFormat="false" ht="15" hidden="false" customHeight="false" outlineLevel="0" collapsed="false">
      <c r="B412" s="87" t="s">
        <v>290</v>
      </c>
    </row>
    <row r="413" customFormat="false" ht="15" hidden="false" customHeight="false" outlineLevel="0" collapsed="false">
      <c r="B413" s="1" t="s">
        <v>651</v>
      </c>
      <c r="F413" s="55" t="s">
        <v>292</v>
      </c>
      <c r="G413" s="56" t="n">
        <v>0.1</v>
      </c>
      <c r="H413" s="57" t="n">
        <f aca="false">G413*8/$D$410</f>
        <v>0.0666666666666667</v>
      </c>
      <c r="I413" s="28" t="n">
        <v>34.73</v>
      </c>
      <c r="J413" s="28" t="n">
        <f aca="false">H413*I413</f>
        <v>2.31533333333333</v>
      </c>
    </row>
    <row r="414" customFormat="false" ht="15" hidden="false" customHeight="false" outlineLevel="0" collapsed="false">
      <c r="B414" s="1" t="s">
        <v>291</v>
      </c>
      <c r="F414" s="55" t="s">
        <v>292</v>
      </c>
      <c r="G414" s="56" t="n">
        <v>1</v>
      </c>
      <c r="H414" s="57" t="n">
        <f aca="false">G414*8/$D$410</f>
        <v>0.666666666666667</v>
      </c>
      <c r="I414" s="28" t="n">
        <v>28.94</v>
      </c>
      <c r="J414" s="28" t="n">
        <f aca="false">H414*I414</f>
        <v>19.2933333333333</v>
      </c>
    </row>
    <row r="415" customFormat="false" ht="15" hidden="false" customHeight="false" outlineLevel="0" collapsed="false">
      <c r="B415" s="1" t="s">
        <v>294</v>
      </c>
      <c r="F415" s="55" t="s">
        <v>292</v>
      </c>
      <c r="G415" s="56" t="n">
        <v>0.3</v>
      </c>
      <c r="H415" s="57" t="n">
        <f aca="false">G415*8/$D$410</f>
        <v>0.2</v>
      </c>
      <c r="I415" s="28" t="n">
        <v>20.51</v>
      </c>
      <c r="J415" s="28" t="n">
        <f aca="false">H415*I415</f>
        <v>4.102</v>
      </c>
    </row>
    <row r="416" customFormat="false" ht="15" hidden="false" customHeight="false" outlineLevel="0" collapsed="false">
      <c r="F416" s="55"/>
      <c r="G416" s="56"/>
      <c r="H416" s="57"/>
      <c r="I416" s="28"/>
      <c r="J416" s="86" t="n">
        <f aca="false">SUM(J413:J415)</f>
        <v>25.7106666666667</v>
      </c>
    </row>
    <row r="417" customFormat="false" ht="15" hidden="false" customHeight="false" outlineLevel="0" collapsed="false">
      <c r="B417" s="87" t="s">
        <v>654</v>
      </c>
      <c r="F417" s="55"/>
      <c r="G417" s="56"/>
      <c r="H417" s="57"/>
      <c r="J417" s="28"/>
    </row>
    <row r="418" customFormat="false" ht="15" hidden="false" customHeight="false" outlineLevel="0" collapsed="false">
      <c r="B418" s="1" t="s">
        <v>916</v>
      </c>
      <c r="F418" s="55" t="s">
        <v>297</v>
      </c>
      <c r="H418" s="57" t="n">
        <v>0.189</v>
      </c>
      <c r="I418" s="28" t="n">
        <v>7.4</v>
      </c>
      <c r="J418" s="28" t="n">
        <f aca="false">H418*I418</f>
        <v>1.3986</v>
      </c>
    </row>
    <row r="419" customFormat="false" ht="15" hidden="false" customHeight="false" outlineLevel="0" collapsed="false">
      <c r="B419" s="1" t="s">
        <v>934</v>
      </c>
      <c r="F419" s="55" t="s">
        <v>935</v>
      </c>
      <c r="H419" s="57" t="n">
        <v>0.1008</v>
      </c>
      <c r="I419" s="28" t="n">
        <v>22.9</v>
      </c>
      <c r="J419" s="28" t="n">
        <f aca="false">H419*I419</f>
        <v>2.30832</v>
      </c>
    </row>
    <row r="420" customFormat="false" ht="15" hidden="false" customHeight="false" outlineLevel="0" collapsed="false">
      <c r="B420" s="1" t="s">
        <v>936</v>
      </c>
      <c r="F420" s="55" t="s">
        <v>134</v>
      </c>
      <c r="H420" s="57" t="n">
        <v>0.345</v>
      </c>
      <c r="I420" s="28" t="n">
        <v>38.9</v>
      </c>
      <c r="J420" s="28" t="n">
        <f aca="false">H420*I420</f>
        <v>13.4205</v>
      </c>
    </row>
    <row r="421" customFormat="false" ht="15" hidden="false" customHeight="false" outlineLevel="0" collapsed="false">
      <c r="B421" s="1" t="s">
        <v>937</v>
      </c>
      <c r="F421" s="55" t="s">
        <v>432</v>
      </c>
      <c r="H421" s="57" t="n">
        <v>0.06</v>
      </c>
      <c r="I421" s="28" t="n">
        <v>8.5</v>
      </c>
      <c r="J421" s="28" t="n">
        <f aca="false">H421*I421</f>
        <v>0.51</v>
      </c>
    </row>
    <row r="422" customFormat="false" ht="15" hidden="false" customHeight="false" outlineLevel="0" collapsed="false">
      <c r="B422" s="1" t="s">
        <v>920</v>
      </c>
      <c r="F422" s="55" t="s">
        <v>150</v>
      </c>
      <c r="H422" s="57" t="n">
        <v>0.0006</v>
      </c>
      <c r="I422" s="28" t="n">
        <v>112</v>
      </c>
      <c r="J422" s="28" t="n">
        <f aca="false">H422*I422</f>
        <v>0.0672</v>
      </c>
    </row>
    <row r="423" customFormat="false" ht="15" hidden="false" customHeight="false" outlineLevel="0" collapsed="false">
      <c r="B423" s="1" t="s">
        <v>665</v>
      </c>
      <c r="F423" s="55" t="s">
        <v>204</v>
      </c>
      <c r="H423" s="57" t="n">
        <v>0.001</v>
      </c>
      <c r="I423" s="28" t="n">
        <v>6.14</v>
      </c>
      <c r="J423" s="28" t="n">
        <f aca="false">H423*I423</f>
        <v>0.00614</v>
      </c>
    </row>
    <row r="424" customFormat="false" ht="15" hidden="false" customHeight="false" outlineLevel="0" collapsed="false">
      <c r="F424" s="55"/>
      <c r="H424" s="57"/>
      <c r="I424" s="28"/>
      <c r="J424" s="86" t="n">
        <f aca="false">SUM(J418:J423)</f>
        <v>17.71076</v>
      </c>
    </row>
    <row r="425" customFormat="false" ht="15" hidden="false" customHeight="false" outlineLevel="0" collapsed="false">
      <c r="B425" s="87" t="s">
        <v>310</v>
      </c>
    </row>
    <row r="426" customFormat="false" ht="15" hidden="false" customHeight="false" outlineLevel="0" collapsed="false">
      <c r="B426" s="1" t="s">
        <v>311</v>
      </c>
      <c r="F426" s="55" t="s">
        <v>312</v>
      </c>
      <c r="H426" s="57" t="n">
        <v>3</v>
      </c>
      <c r="I426" s="28" t="n">
        <f aca="false">J416</f>
        <v>25.7106666666667</v>
      </c>
      <c r="J426" s="28" t="n">
        <f aca="false">H426%*I426</f>
        <v>0.77132</v>
      </c>
    </row>
    <row r="427" customFormat="false" ht="15" hidden="false" customHeight="false" outlineLevel="0" collapsed="false">
      <c r="A427" s="60"/>
      <c r="B427" s="60"/>
      <c r="C427" s="60"/>
      <c r="D427" s="60"/>
      <c r="E427" s="60"/>
      <c r="F427" s="60"/>
      <c r="G427" s="60"/>
      <c r="H427" s="60"/>
      <c r="I427" s="60"/>
      <c r="J427" s="89" t="n">
        <f aca="false">SUM(J426:J426)</f>
        <v>0.77132</v>
      </c>
    </row>
    <row r="428" customFormat="false" ht="15" hidden="false" customHeight="false" outlineLevel="0" collapsed="false">
      <c r="F428" s="55"/>
      <c r="G428" s="56"/>
      <c r="H428" s="57"/>
      <c r="I428" s="28"/>
      <c r="J428" s="28"/>
    </row>
    <row r="429" customFormat="false" ht="15" hidden="false" customHeight="false" outlineLevel="0" collapsed="false">
      <c r="A429" s="82" t="s">
        <v>278</v>
      </c>
      <c r="B429" s="82" t="str">
        <f aca="false">ARQUITECTURA!A31</f>
        <v>03.04.06</v>
      </c>
      <c r="C429" s="82" t="s">
        <v>808</v>
      </c>
      <c r="D429" s="82"/>
    </row>
    <row r="430" customFormat="false" ht="15" hidden="false" customHeight="false" outlineLevel="0" collapsed="false">
      <c r="A430" s="82" t="s">
        <v>279</v>
      </c>
      <c r="B430" s="82" t="s">
        <v>314</v>
      </c>
      <c r="C430" s="84" t="s">
        <v>281</v>
      </c>
      <c r="D430" s="85" t="n">
        <v>8</v>
      </c>
      <c r="E430" s="84" t="s">
        <v>282</v>
      </c>
      <c r="F430" s="85" t="n">
        <f aca="false">D430</f>
        <v>8</v>
      </c>
      <c r="G430" s="82" t="s">
        <v>283</v>
      </c>
      <c r="I430" s="84" t="s">
        <v>145</v>
      </c>
      <c r="J430" s="86" t="n">
        <f aca="false">J436+J443+J446</f>
        <v>84.43849</v>
      </c>
    </row>
    <row r="431" customFormat="false" ht="15" hidden="false" customHeight="false" outlineLevel="0" collapsed="false">
      <c r="A431" s="82" t="s">
        <v>284</v>
      </c>
      <c r="B431" s="82" t="s">
        <v>285</v>
      </c>
      <c r="F431" s="84" t="s">
        <v>123</v>
      </c>
      <c r="G431" s="84" t="s">
        <v>286</v>
      </c>
      <c r="H431" s="84" t="n">
        <v>0.0556</v>
      </c>
      <c r="I431" s="84" t="s">
        <v>288</v>
      </c>
      <c r="J431" s="84" t="s">
        <v>289</v>
      </c>
    </row>
    <row r="432" customFormat="false" ht="15" hidden="false" customHeight="false" outlineLevel="0" collapsed="false">
      <c r="B432" s="87" t="s">
        <v>290</v>
      </c>
    </row>
    <row r="433" customFormat="false" ht="15" hidden="false" customHeight="false" outlineLevel="0" collapsed="false">
      <c r="B433" s="1" t="s">
        <v>651</v>
      </c>
      <c r="F433" s="55" t="s">
        <v>292</v>
      </c>
      <c r="G433" s="56" t="n">
        <v>0.1</v>
      </c>
      <c r="H433" s="57" t="n">
        <f aca="false">G433*8/$D$430</f>
        <v>0.1</v>
      </c>
      <c r="I433" s="28" t="n">
        <v>34.73</v>
      </c>
      <c r="J433" s="28" t="n">
        <f aca="false">H433*I433</f>
        <v>3.473</v>
      </c>
    </row>
    <row r="434" customFormat="false" ht="15" hidden="false" customHeight="false" outlineLevel="0" collapsed="false">
      <c r="B434" s="1" t="s">
        <v>291</v>
      </c>
      <c r="F434" s="55" t="s">
        <v>292</v>
      </c>
      <c r="G434" s="56" t="n">
        <v>1</v>
      </c>
      <c r="H434" s="57" t="n">
        <f aca="false">G434*8/$D$430</f>
        <v>1</v>
      </c>
      <c r="I434" s="28" t="n">
        <v>28.94</v>
      </c>
      <c r="J434" s="28" t="n">
        <f aca="false">H434*I434</f>
        <v>28.94</v>
      </c>
    </row>
    <row r="435" customFormat="false" ht="15" hidden="false" customHeight="false" outlineLevel="0" collapsed="false">
      <c r="B435" s="1" t="s">
        <v>294</v>
      </c>
      <c r="F435" s="55" t="s">
        <v>292</v>
      </c>
      <c r="G435" s="56" t="n">
        <v>2</v>
      </c>
      <c r="H435" s="57" t="n">
        <f aca="false">G435*8/$D$430</f>
        <v>2</v>
      </c>
      <c r="I435" s="28" t="n">
        <v>20.51</v>
      </c>
      <c r="J435" s="28" t="n">
        <f aca="false">H435*I435</f>
        <v>41.02</v>
      </c>
    </row>
    <row r="436" customFormat="false" ht="15" hidden="false" customHeight="false" outlineLevel="0" collapsed="false">
      <c r="F436" s="55"/>
      <c r="G436" s="56"/>
      <c r="H436" s="57"/>
      <c r="I436" s="28"/>
      <c r="J436" s="86" t="n">
        <f aca="false">SUM(J433:J435)</f>
        <v>73.433</v>
      </c>
    </row>
    <row r="437" customFormat="false" ht="15" hidden="false" customHeight="false" outlineLevel="0" collapsed="false">
      <c r="B437" s="87" t="s">
        <v>654</v>
      </c>
      <c r="F437" s="55"/>
      <c r="G437" s="56"/>
      <c r="H437" s="57"/>
      <c r="J437" s="28"/>
    </row>
    <row r="438" customFormat="false" ht="15" hidden="false" customHeight="false" outlineLevel="0" collapsed="false">
      <c r="B438" s="1" t="s">
        <v>896</v>
      </c>
      <c r="F438" s="55" t="s">
        <v>204</v>
      </c>
      <c r="H438" s="57" t="n">
        <v>0.063</v>
      </c>
      <c r="I438" s="28" t="n">
        <v>65</v>
      </c>
      <c r="J438" s="28" t="n">
        <f aca="false">H438*I438</f>
        <v>4.095</v>
      </c>
    </row>
    <row r="439" customFormat="false" ht="15" hidden="false" customHeight="false" outlineLevel="0" collapsed="false">
      <c r="B439" s="1" t="s">
        <v>946</v>
      </c>
      <c r="F439" s="55" t="s">
        <v>432</v>
      </c>
      <c r="H439" s="57" t="n">
        <v>0.05</v>
      </c>
      <c r="I439" s="28" t="n">
        <v>70</v>
      </c>
      <c r="J439" s="28" t="n">
        <f aca="false">H439*I439</f>
        <v>3.5</v>
      </c>
    </row>
    <row r="440" customFormat="false" ht="15" hidden="false" customHeight="false" outlineLevel="0" collapsed="false">
      <c r="B440" s="1" t="s">
        <v>665</v>
      </c>
      <c r="F440" s="55" t="s">
        <v>204</v>
      </c>
      <c r="H440" s="57" t="n">
        <v>0.115</v>
      </c>
      <c r="I440" s="28" t="n">
        <v>6.14</v>
      </c>
      <c r="J440" s="28" t="n">
        <f aca="false">H440*I440</f>
        <v>0.7061</v>
      </c>
    </row>
    <row r="441" customFormat="false" ht="15" hidden="false" customHeight="false" outlineLevel="0" collapsed="false">
      <c r="B441" s="1" t="s">
        <v>947</v>
      </c>
      <c r="F441" s="55" t="s">
        <v>432</v>
      </c>
      <c r="H441" s="57" t="n">
        <v>0.02</v>
      </c>
      <c r="I441" s="28" t="n">
        <v>25</v>
      </c>
      <c r="J441" s="28" t="n">
        <f aca="false">H441*I441</f>
        <v>0.5</v>
      </c>
    </row>
    <row r="442" customFormat="false" ht="15" hidden="false" customHeight="false" outlineLevel="0" collapsed="false">
      <c r="B442" s="1" t="s">
        <v>948</v>
      </c>
      <c r="F442" s="55" t="s">
        <v>297</v>
      </c>
      <c r="H442" s="57" t="n">
        <v>0.0002</v>
      </c>
      <c r="I442" s="28" t="n">
        <v>7</v>
      </c>
      <c r="J442" s="28" t="n">
        <f aca="false">H442*I442</f>
        <v>0.0014</v>
      </c>
    </row>
    <row r="443" customFormat="false" ht="15" hidden="false" customHeight="false" outlineLevel="0" collapsed="false">
      <c r="F443" s="55"/>
      <c r="H443" s="57"/>
      <c r="I443" s="28"/>
      <c r="J443" s="86" t="n">
        <f aca="false">SUM(J438:J442)</f>
        <v>8.8025</v>
      </c>
    </row>
    <row r="444" customFormat="false" ht="15" hidden="false" customHeight="false" outlineLevel="0" collapsed="false">
      <c r="B444" s="87" t="s">
        <v>310</v>
      </c>
    </row>
    <row r="445" customFormat="false" ht="15" hidden="false" customHeight="false" outlineLevel="0" collapsed="false">
      <c r="B445" s="1" t="s">
        <v>311</v>
      </c>
      <c r="F445" s="55" t="s">
        <v>312</v>
      </c>
      <c r="H445" s="57" t="n">
        <v>3</v>
      </c>
      <c r="I445" s="28" t="n">
        <f aca="false">J436</f>
        <v>73.433</v>
      </c>
      <c r="J445" s="28" t="n">
        <f aca="false">H445%*I445</f>
        <v>2.20299</v>
      </c>
    </row>
    <row r="446" customFormat="false" ht="15" hidden="false" customHeight="false" outlineLevel="0" collapsed="false">
      <c r="A446" s="60"/>
      <c r="B446" s="60"/>
      <c r="C446" s="60"/>
      <c r="D446" s="60"/>
      <c r="E446" s="60"/>
      <c r="F446" s="60"/>
      <c r="G446" s="60"/>
      <c r="H446" s="60"/>
      <c r="I446" s="60"/>
      <c r="J446" s="89" t="n">
        <f aca="false">SUM(J445:J445)</f>
        <v>2.20299</v>
      </c>
    </row>
    <row r="447" customFormat="false" ht="15" hidden="false" customHeight="false" outlineLevel="0" collapsed="false">
      <c r="J447" s="86"/>
    </row>
    <row r="448" customFormat="false" ht="15" hidden="false" customHeight="false" outlineLevel="0" collapsed="false">
      <c r="A448" s="82" t="s">
        <v>278</v>
      </c>
      <c r="B448" s="82" t="str">
        <f aca="false">ARQUITECTURA!A33</f>
        <v>03.05.01</v>
      </c>
      <c r="C448" s="82" t="s">
        <v>811</v>
      </c>
      <c r="D448" s="82"/>
      <c r="N448" s="82"/>
    </row>
    <row r="449" customFormat="false" ht="15" hidden="false" customHeight="false" outlineLevel="0" collapsed="false">
      <c r="A449" s="82" t="s">
        <v>279</v>
      </c>
      <c r="B449" s="82" t="s">
        <v>280</v>
      </c>
      <c r="C449" s="84" t="s">
        <v>281</v>
      </c>
      <c r="D449" s="85" t="n">
        <v>1</v>
      </c>
      <c r="E449" s="84" t="s">
        <v>282</v>
      </c>
      <c r="F449" s="85" t="n">
        <f aca="false">D449</f>
        <v>1</v>
      </c>
      <c r="G449" s="82" t="s">
        <v>283</v>
      </c>
      <c r="I449" s="84" t="s">
        <v>134</v>
      </c>
      <c r="J449" s="86" t="n">
        <f aca="false">J453</f>
        <v>560.6226</v>
      </c>
      <c r="M449" s="82"/>
      <c r="N449" s="82"/>
    </row>
    <row r="450" customFormat="false" ht="15" hidden="false" customHeight="false" outlineLevel="0" collapsed="false">
      <c r="A450" s="82" t="s">
        <v>284</v>
      </c>
      <c r="B450" s="82" t="s">
        <v>285</v>
      </c>
      <c r="F450" s="84" t="s">
        <v>123</v>
      </c>
      <c r="G450" s="84" t="s">
        <v>286</v>
      </c>
      <c r="H450" s="84" t="n">
        <v>0.0556</v>
      </c>
      <c r="I450" s="84" t="s">
        <v>288</v>
      </c>
      <c r="J450" s="84" t="s">
        <v>289</v>
      </c>
      <c r="N450" s="82"/>
    </row>
    <row r="451" customFormat="false" ht="15" hidden="false" customHeight="false" outlineLevel="0" collapsed="false">
      <c r="B451" s="87" t="s">
        <v>295</v>
      </c>
      <c r="N451" s="82"/>
    </row>
    <row r="452" customFormat="false" ht="15" hidden="false" customHeight="false" outlineLevel="0" collapsed="false">
      <c r="B452" s="1" t="s">
        <v>811</v>
      </c>
      <c r="F452" s="55" t="s">
        <v>150</v>
      </c>
      <c r="G452" s="56"/>
      <c r="H452" s="57" t="n">
        <v>1</v>
      </c>
      <c r="I452" s="28" t="n">
        <v>560.6226</v>
      </c>
      <c r="J452" s="28" t="n">
        <f aca="false">H452*I452</f>
        <v>560.6226</v>
      </c>
      <c r="N452" s="82"/>
    </row>
    <row r="453" customFormat="false" ht="15" hidden="false" customHeight="false" outlineLevel="0" collapsed="false">
      <c r="A453" s="60"/>
      <c r="B453" s="60"/>
      <c r="C453" s="60"/>
      <c r="D453" s="60"/>
      <c r="E453" s="60"/>
      <c r="F453" s="60"/>
      <c r="G453" s="60"/>
      <c r="H453" s="60"/>
      <c r="I453" s="60"/>
      <c r="J453" s="89" t="n">
        <f aca="false">SUM(J452)</f>
        <v>560.6226</v>
      </c>
      <c r="N453" s="82"/>
    </row>
    <row r="454" customFormat="false" ht="15" hidden="false" customHeight="false" outlineLevel="0" collapsed="false">
      <c r="N454" s="82"/>
    </row>
    <row r="455" customFormat="false" ht="15" hidden="false" customHeight="false" outlineLevel="0" collapsed="false">
      <c r="A455" s="82" t="s">
        <v>278</v>
      </c>
      <c r="B455" s="82" t="str">
        <f aca="false">ARQUITECTURA!A34</f>
        <v>03.05.02</v>
      </c>
      <c r="C455" s="82" t="s">
        <v>813</v>
      </c>
      <c r="D455" s="82"/>
      <c r="N455" s="82"/>
    </row>
    <row r="456" customFormat="false" ht="15" hidden="false" customHeight="false" outlineLevel="0" collapsed="false">
      <c r="A456" s="82" t="s">
        <v>279</v>
      </c>
      <c r="B456" s="82" t="s">
        <v>280</v>
      </c>
      <c r="C456" s="84" t="s">
        <v>281</v>
      </c>
      <c r="D456" s="85" t="n">
        <v>1</v>
      </c>
      <c r="E456" s="84" t="s">
        <v>282</v>
      </c>
      <c r="F456" s="85" t="n">
        <f aca="false">D456</f>
        <v>1</v>
      </c>
      <c r="G456" s="82" t="s">
        <v>283</v>
      </c>
      <c r="I456" s="84" t="s">
        <v>134</v>
      </c>
      <c r="J456" s="86" t="n">
        <f aca="false">J460</f>
        <v>367.870834240906</v>
      </c>
      <c r="M456" s="82"/>
      <c r="N456" s="82"/>
    </row>
    <row r="457" customFormat="false" ht="15" hidden="false" customHeight="false" outlineLevel="0" collapsed="false">
      <c r="A457" s="82" t="s">
        <v>284</v>
      </c>
      <c r="B457" s="82" t="s">
        <v>285</v>
      </c>
      <c r="F457" s="84" t="s">
        <v>123</v>
      </c>
      <c r="G457" s="84" t="s">
        <v>286</v>
      </c>
      <c r="H457" s="84" t="n">
        <v>0.0556</v>
      </c>
      <c r="I457" s="84" t="s">
        <v>288</v>
      </c>
      <c r="J457" s="84" t="s">
        <v>289</v>
      </c>
      <c r="N457" s="82"/>
    </row>
    <row r="458" customFormat="false" ht="15" hidden="false" customHeight="false" outlineLevel="0" collapsed="false">
      <c r="B458" s="87" t="s">
        <v>295</v>
      </c>
      <c r="N458" s="82"/>
    </row>
    <row r="459" customFormat="false" ht="15" hidden="false" customHeight="false" outlineLevel="0" collapsed="false">
      <c r="B459" s="1" t="s">
        <v>813</v>
      </c>
      <c r="F459" s="55" t="s">
        <v>150</v>
      </c>
      <c r="G459" s="56"/>
      <c r="H459" s="57" t="n">
        <v>1</v>
      </c>
      <c r="I459" s="1" t="n">
        <v>367.870834240906</v>
      </c>
      <c r="J459" s="28" t="n">
        <f aca="false">H459*I459</f>
        <v>367.870834240906</v>
      </c>
      <c r="N459" s="82"/>
    </row>
    <row r="460" customFormat="false" ht="15" hidden="false" customHeight="false" outlineLevel="0" collapsed="false">
      <c r="A460" s="60"/>
      <c r="B460" s="60"/>
      <c r="C460" s="60"/>
      <c r="D460" s="60"/>
      <c r="E460" s="60"/>
      <c r="F460" s="60"/>
      <c r="G460" s="60"/>
      <c r="H460" s="60"/>
      <c r="I460" s="60"/>
      <c r="J460" s="89" t="n">
        <f aca="false">SUM(J459)</f>
        <v>367.870834240906</v>
      </c>
    </row>
    <row r="462" customFormat="false" ht="15" hidden="false" customHeight="false" outlineLevel="0" collapsed="false">
      <c r="A462" s="82" t="s">
        <v>278</v>
      </c>
      <c r="B462" s="82" t="str">
        <f aca="false">ARQUITECTURA!A35</f>
        <v>03.05.03</v>
      </c>
      <c r="C462" s="82" t="s">
        <v>815</v>
      </c>
      <c r="D462" s="82"/>
    </row>
    <row r="463" customFormat="false" ht="15" hidden="false" customHeight="false" outlineLevel="0" collapsed="false">
      <c r="A463" s="82" t="s">
        <v>279</v>
      </c>
      <c r="B463" s="82" t="s">
        <v>280</v>
      </c>
      <c r="C463" s="84" t="s">
        <v>281</v>
      </c>
      <c r="D463" s="85" t="n">
        <v>1</v>
      </c>
      <c r="E463" s="84" t="s">
        <v>282</v>
      </c>
      <c r="F463" s="85" t="n">
        <f aca="false">D463</f>
        <v>1</v>
      </c>
      <c r="G463" s="82" t="s">
        <v>283</v>
      </c>
      <c r="I463" s="84" t="s">
        <v>134</v>
      </c>
      <c r="J463" s="86" t="n">
        <f aca="false">J467</f>
        <v>514.537194137164</v>
      </c>
    </row>
    <row r="464" customFormat="false" ht="15" hidden="false" customHeight="false" outlineLevel="0" collapsed="false">
      <c r="A464" s="82" t="s">
        <v>284</v>
      </c>
      <c r="B464" s="82" t="s">
        <v>285</v>
      </c>
      <c r="F464" s="84" t="s">
        <v>123</v>
      </c>
      <c r="G464" s="84" t="s">
        <v>286</v>
      </c>
      <c r="H464" s="84" t="n">
        <v>0.0556</v>
      </c>
      <c r="I464" s="84" t="s">
        <v>288</v>
      </c>
      <c r="J464" s="84" t="s">
        <v>289</v>
      </c>
    </row>
    <row r="465" customFormat="false" ht="15" hidden="false" customHeight="false" outlineLevel="0" collapsed="false">
      <c r="B465" s="87" t="s">
        <v>295</v>
      </c>
    </row>
    <row r="466" customFormat="false" ht="15" hidden="false" customHeight="false" outlineLevel="0" collapsed="false">
      <c r="B466" s="1" t="s">
        <v>815</v>
      </c>
      <c r="F466" s="55" t="s">
        <v>150</v>
      </c>
      <c r="G466" s="56"/>
      <c r="H466" s="57" t="n">
        <v>1</v>
      </c>
      <c r="I466" s="1" t="n">
        <v>514.537194137164</v>
      </c>
      <c r="J466" s="28" t="n">
        <f aca="false">H466*I466</f>
        <v>514.537194137164</v>
      </c>
    </row>
    <row r="467" customFormat="false" ht="15" hidden="false" customHeight="false" outlineLevel="0" collapsed="false">
      <c r="A467" s="60"/>
      <c r="B467" s="60"/>
      <c r="C467" s="60"/>
      <c r="D467" s="60"/>
      <c r="E467" s="60"/>
      <c r="F467" s="60"/>
      <c r="G467" s="60"/>
      <c r="H467" s="60"/>
      <c r="I467" s="60"/>
      <c r="J467" s="89" t="n">
        <f aca="false">SUM(J466)</f>
        <v>514.537194137164</v>
      </c>
    </row>
    <row r="469" customFormat="false" ht="15" hidden="false" customHeight="false" outlineLevel="0" collapsed="false">
      <c r="A469" s="82" t="s">
        <v>278</v>
      </c>
      <c r="B469" s="82" t="str">
        <f aca="false">ARQUITECTURA!A36</f>
        <v>03.05.04</v>
      </c>
      <c r="C469" s="82" t="s">
        <v>817</v>
      </c>
      <c r="D469" s="82"/>
    </row>
    <row r="470" customFormat="false" ht="15" hidden="false" customHeight="false" outlineLevel="0" collapsed="false">
      <c r="A470" s="82" t="s">
        <v>279</v>
      </c>
      <c r="B470" s="82" t="s">
        <v>280</v>
      </c>
      <c r="C470" s="84" t="s">
        <v>281</v>
      </c>
      <c r="D470" s="85" t="n">
        <v>1</v>
      </c>
      <c r="E470" s="84" t="s">
        <v>282</v>
      </c>
      <c r="F470" s="85" t="n">
        <f aca="false">D470</f>
        <v>1</v>
      </c>
      <c r="G470" s="82" t="s">
        <v>283</v>
      </c>
      <c r="I470" s="84" t="s">
        <v>134</v>
      </c>
      <c r="J470" s="86" t="n">
        <f aca="false">J474</f>
        <v>622.13</v>
      </c>
    </row>
    <row r="471" customFormat="false" ht="15" hidden="false" customHeight="false" outlineLevel="0" collapsed="false">
      <c r="A471" s="82" t="s">
        <v>284</v>
      </c>
      <c r="B471" s="82" t="s">
        <v>285</v>
      </c>
      <c r="F471" s="84" t="s">
        <v>123</v>
      </c>
      <c r="G471" s="84" t="s">
        <v>286</v>
      </c>
      <c r="H471" s="84" t="n">
        <v>0.0556</v>
      </c>
      <c r="I471" s="84" t="s">
        <v>288</v>
      </c>
      <c r="J471" s="84" t="s">
        <v>289</v>
      </c>
    </row>
    <row r="472" customFormat="false" ht="15" hidden="false" customHeight="false" outlineLevel="0" collapsed="false">
      <c r="B472" s="87" t="s">
        <v>295</v>
      </c>
    </row>
    <row r="473" customFormat="false" ht="15" hidden="false" customHeight="false" outlineLevel="0" collapsed="false">
      <c r="B473" s="1" t="s">
        <v>817</v>
      </c>
      <c r="F473" s="55" t="s">
        <v>150</v>
      </c>
      <c r="G473" s="56"/>
      <c r="H473" s="57" t="n">
        <v>1</v>
      </c>
      <c r="I473" s="1" t="n">
        <v>622.13</v>
      </c>
      <c r="J473" s="28" t="n">
        <f aca="false">H473*I473</f>
        <v>622.13</v>
      </c>
    </row>
    <row r="474" customFormat="false" ht="15" hidden="false" customHeight="false" outlineLevel="0" collapsed="false">
      <c r="A474" s="60"/>
      <c r="B474" s="60"/>
      <c r="C474" s="60"/>
      <c r="D474" s="60"/>
      <c r="E474" s="60"/>
      <c r="F474" s="60"/>
      <c r="G474" s="60"/>
      <c r="H474" s="60"/>
      <c r="I474" s="60"/>
      <c r="J474" s="89" t="n">
        <f aca="false">SUM(J473)</f>
        <v>622.13</v>
      </c>
    </row>
    <row r="476" customFormat="false" ht="15" hidden="false" customHeight="false" outlineLevel="0" collapsed="false">
      <c r="A476" s="82" t="s">
        <v>278</v>
      </c>
      <c r="B476" s="82" t="str">
        <f aca="false">ARQUITECTURA!A37</f>
        <v>03.05.05</v>
      </c>
      <c r="C476" s="82" t="s">
        <v>819</v>
      </c>
      <c r="D476" s="82"/>
    </row>
    <row r="477" customFormat="false" ht="15" hidden="false" customHeight="false" outlineLevel="0" collapsed="false">
      <c r="A477" s="82" t="s">
        <v>279</v>
      </c>
      <c r="B477" s="82" t="s">
        <v>280</v>
      </c>
      <c r="C477" s="84" t="s">
        <v>281</v>
      </c>
      <c r="D477" s="85" t="n">
        <v>1</v>
      </c>
      <c r="E477" s="84" t="s">
        <v>282</v>
      </c>
      <c r="F477" s="85" t="n">
        <f aca="false">D477</f>
        <v>1</v>
      </c>
      <c r="G477" s="82" t="s">
        <v>283</v>
      </c>
      <c r="I477" s="84" t="s">
        <v>134</v>
      </c>
      <c r="J477" s="86" t="n">
        <f aca="false">J481</f>
        <v>54.78</v>
      </c>
    </row>
    <row r="478" customFormat="false" ht="15" hidden="false" customHeight="false" outlineLevel="0" collapsed="false">
      <c r="A478" s="82" t="s">
        <v>284</v>
      </c>
      <c r="B478" s="82" t="s">
        <v>285</v>
      </c>
      <c r="F478" s="84" t="s">
        <v>123</v>
      </c>
      <c r="G478" s="84" t="s">
        <v>286</v>
      </c>
      <c r="H478" s="84" t="n">
        <v>0.0556</v>
      </c>
      <c r="I478" s="84" t="s">
        <v>288</v>
      </c>
      <c r="J478" s="84" t="s">
        <v>289</v>
      </c>
    </row>
    <row r="479" customFormat="false" ht="15" hidden="false" customHeight="false" outlineLevel="0" collapsed="false">
      <c r="B479" s="87" t="s">
        <v>295</v>
      </c>
    </row>
    <row r="480" customFormat="false" ht="15" hidden="false" customHeight="false" outlineLevel="0" collapsed="false">
      <c r="B480" s="1" t="s">
        <v>819</v>
      </c>
      <c r="F480" s="55" t="s">
        <v>150</v>
      </c>
      <c r="G480" s="56"/>
      <c r="H480" s="57" t="n">
        <v>1</v>
      </c>
      <c r="I480" s="1" t="n">
        <v>54.78</v>
      </c>
      <c r="J480" s="28" t="n">
        <f aca="false">H480*I480</f>
        <v>54.78</v>
      </c>
    </row>
    <row r="481" customFormat="false" ht="15" hidden="false" customHeight="false" outlineLevel="0" collapsed="false">
      <c r="A481" s="60"/>
      <c r="B481" s="60"/>
      <c r="C481" s="60"/>
      <c r="D481" s="60"/>
      <c r="E481" s="60"/>
      <c r="F481" s="60"/>
      <c r="G481" s="60"/>
      <c r="H481" s="60"/>
      <c r="I481" s="60"/>
      <c r="J481" s="89" t="n">
        <f aca="false">SUM(J480)</f>
        <v>54.78</v>
      </c>
    </row>
    <row r="482" customFormat="false" ht="15" hidden="false" customHeight="false" outlineLevel="0" collapsed="false">
      <c r="J482" s="86"/>
    </row>
    <row r="483" customFormat="false" ht="15" hidden="false" customHeight="false" outlineLevel="0" collapsed="false">
      <c r="A483" s="14" t="s">
        <v>278</v>
      </c>
      <c r="B483" s="82" t="str">
        <f aca="false">ARQUITECTURA!A39</f>
        <v>03.06.01</v>
      </c>
      <c r="C483" s="14" t="s">
        <v>822</v>
      </c>
      <c r="D483" s="14"/>
    </row>
    <row r="484" customFormat="false" ht="15" hidden="false" customHeight="false" outlineLevel="0" collapsed="false">
      <c r="A484" s="14" t="s">
        <v>279</v>
      </c>
      <c r="B484" s="14" t="s">
        <v>280</v>
      </c>
      <c r="C484" s="36" t="s">
        <v>281</v>
      </c>
      <c r="D484" s="52" t="n">
        <v>50</v>
      </c>
      <c r="E484" s="36" t="s">
        <v>282</v>
      </c>
      <c r="F484" s="52" t="n">
        <f aca="false">D484</f>
        <v>50</v>
      </c>
      <c r="G484" s="14" t="s">
        <v>283</v>
      </c>
      <c r="I484" s="36" t="s">
        <v>134</v>
      </c>
      <c r="J484" s="53" t="n">
        <f aca="false">J490+J497+J501</f>
        <v>15.625164</v>
      </c>
    </row>
    <row r="485" customFormat="false" ht="15" hidden="false" customHeight="false" outlineLevel="0" collapsed="false">
      <c r="A485" s="14" t="s">
        <v>284</v>
      </c>
      <c r="B485" s="14" t="s">
        <v>285</v>
      </c>
      <c r="F485" s="36" t="s">
        <v>123</v>
      </c>
      <c r="G485" s="36" t="s">
        <v>286</v>
      </c>
      <c r="H485" s="36" t="s">
        <v>287</v>
      </c>
      <c r="I485" s="36" t="s">
        <v>288</v>
      </c>
      <c r="J485" s="36" t="s">
        <v>289</v>
      </c>
    </row>
    <row r="486" customFormat="false" ht="15" hidden="false" customHeight="false" outlineLevel="0" collapsed="false">
      <c r="B486" s="54" t="s">
        <v>290</v>
      </c>
    </row>
    <row r="487" customFormat="false" ht="15" hidden="false" customHeight="false" outlineLevel="0" collapsed="false">
      <c r="B487" s="1" t="s">
        <v>651</v>
      </c>
      <c r="F487" s="55" t="s">
        <v>292</v>
      </c>
      <c r="G487" s="56" t="n">
        <v>0.1</v>
      </c>
      <c r="H487" s="57" t="n">
        <f aca="false">G487*8/$D$484</f>
        <v>0.016</v>
      </c>
      <c r="I487" s="28" t="n">
        <v>34.73</v>
      </c>
      <c r="J487" s="28" t="n">
        <f aca="false">H487*I487</f>
        <v>0.55568</v>
      </c>
    </row>
    <row r="488" customFormat="false" ht="15" hidden="false" customHeight="false" outlineLevel="0" collapsed="false">
      <c r="B488" s="1" t="s">
        <v>291</v>
      </c>
      <c r="F488" s="55" t="s">
        <v>292</v>
      </c>
      <c r="G488" s="56" t="n">
        <v>1</v>
      </c>
      <c r="H488" s="57" t="n">
        <f aca="false">G488*8/$D$484</f>
        <v>0.16</v>
      </c>
      <c r="I488" s="28" t="n">
        <v>28.94</v>
      </c>
      <c r="J488" s="28" t="n">
        <f aca="false">H488*I488</f>
        <v>4.6304</v>
      </c>
    </row>
    <row r="489" customFormat="false" ht="15" hidden="false" customHeight="false" outlineLevel="0" collapsed="false">
      <c r="B489" s="1" t="s">
        <v>294</v>
      </c>
      <c r="F489" s="55" t="s">
        <v>292</v>
      </c>
      <c r="G489" s="56" t="n">
        <v>1</v>
      </c>
      <c r="H489" s="57" t="n">
        <f aca="false">G489*8/$D$484</f>
        <v>0.16</v>
      </c>
      <c r="I489" s="1" t="n">
        <v>20.51</v>
      </c>
      <c r="J489" s="28" t="n">
        <f aca="false">H489*I489</f>
        <v>3.2816</v>
      </c>
    </row>
    <row r="490" customFormat="false" ht="15" hidden="false" customHeight="false" outlineLevel="0" collapsed="false">
      <c r="F490" s="55"/>
      <c r="G490" s="56"/>
      <c r="H490" s="57"/>
      <c r="J490" s="53" t="n">
        <f aca="false">SUM(J487:J489)</f>
        <v>8.46768</v>
      </c>
    </row>
    <row r="491" customFormat="false" ht="15" hidden="false" customHeight="false" outlineLevel="0" collapsed="false">
      <c r="B491" s="54" t="s">
        <v>654</v>
      </c>
      <c r="F491" s="55"/>
      <c r="G491" s="56"/>
      <c r="H491" s="28"/>
      <c r="J491" s="28"/>
    </row>
    <row r="492" customFormat="false" ht="15" hidden="false" customHeight="false" outlineLevel="0" collapsed="false">
      <c r="B492" s="1" t="s">
        <v>949</v>
      </c>
      <c r="F492" s="55" t="s">
        <v>150</v>
      </c>
      <c r="H492" s="28" t="n">
        <v>0.2</v>
      </c>
      <c r="I492" s="28" t="n">
        <v>0.85</v>
      </c>
      <c r="J492" s="28" t="n">
        <f aca="false">H492*I492</f>
        <v>0.17</v>
      </c>
    </row>
    <row r="493" customFormat="false" ht="15" hidden="false" customHeight="false" outlineLevel="0" collapsed="false">
      <c r="B493" s="1" t="s">
        <v>950</v>
      </c>
      <c r="F493" s="55" t="s">
        <v>440</v>
      </c>
      <c r="H493" s="28" t="n">
        <v>0.044</v>
      </c>
      <c r="I493" s="28" t="n">
        <v>39.9</v>
      </c>
      <c r="J493" s="28" t="n">
        <f aca="false">H493*I493</f>
        <v>1.7556</v>
      </c>
    </row>
    <row r="494" customFormat="false" ht="15" hidden="false" customHeight="false" outlineLevel="0" collapsed="false">
      <c r="B494" s="1" t="s">
        <v>951</v>
      </c>
      <c r="F494" s="55" t="s">
        <v>440</v>
      </c>
      <c r="H494" s="28" t="n">
        <v>0.035</v>
      </c>
      <c r="I494" s="28" t="n">
        <v>25.5</v>
      </c>
      <c r="J494" s="28" t="n">
        <f aca="false">H494*I494</f>
        <v>0.8925</v>
      </c>
    </row>
    <row r="495" customFormat="false" ht="15" hidden="false" customHeight="false" outlineLevel="0" collapsed="false">
      <c r="B495" s="1" t="s">
        <v>952</v>
      </c>
      <c r="F495" s="55" t="s">
        <v>331</v>
      </c>
      <c r="H495" s="28" t="n">
        <v>0.005</v>
      </c>
      <c r="I495" s="28" t="n">
        <v>30</v>
      </c>
      <c r="J495" s="28" t="n">
        <f aca="false">H495*I495</f>
        <v>0.15</v>
      </c>
    </row>
    <row r="496" customFormat="false" ht="15" hidden="false" customHeight="false" outlineLevel="0" collapsed="false">
      <c r="B496" s="1" t="s">
        <v>953</v>
      </c>
      <c r="F496" s="55" t="s">
        <v>440</v>
      </c>
      <c r="H496" s="28" t="n">
        <v>0.059</v>
      </c>
      <c r="I496" s="28" t="n">
        <v>34</v>
      </c>
      <c r="J496" s="28" t="n">
        <f aca="false">H496*I496</f>
        <v>2.006</v>
      </c>
    </row>
    <row r="497" customFormat="false" ht="15" hidden="false" customHeight="false" outlineLevel="0" collapsed="false">
      <c r="F497" s="55"/>
      <c r="H497" s="28"/>
      <c r="I497" s="28"/>
      <c r="J497" s="53" t="n">
        <f aca="false">SUM(J492:J496)</f>
        <v>4.9741</v>
      </c>
    </row>
    <row r="498" customFormat="false" ht="15" hidden="false" customHeight="false" outlineLevel="0" collapsed="false">
      <c r="B498" s="54" t="s">
        <v>310</v>
      </c>
    </row>
    <row r="499" customFormat="false" ht="15" hidden="false" customHeight="false" outlineLevel="0" collapsed="false">
      <c r="B499" s="1" t="s">
        <v>311</v>
      </c>
      <c r="F499" s="55" t="s">
        <v>312</v>
      </c>
      <c r="H499" s="57" t="n">
        <v>5</v>
      </c>
      <c r="I499" s="28" t="n">
        <f aca="false">J490</f>
        <v>8.46768</v>
      </c>
      <c r="J499" s="28" t="n">
        <f aca="false">H499%*I499</f>
        <v>0.423384</v>
      </c>
    </row>
    <row r="500" customFormat="false" ht="15" hidden="false" customHeight="false" outlineLevel="0" collapsed="false">
      <c r="B500" s="1" t="s">
        <v>929</v>
      </c>
      <c r="C500" s="132"/>
      <c r="D500" s="132"/>
      <c r="E500" s="132"/>
      <c r="F500" s="55" t="s">
        <v>338</v>
      </c>
      <c r="G500" s="56" t="n">
        <v>2</v>
      </c>
      <c r="H500" s="57" t="n">
        <f aca="false">G500*8/$D$484</f>
        <v>0.32</v>
      </c>
      <c r="I500" s="28" t="n">
        <v>5.5</v>
      </c>
      <c r="J500" s="28" t="n">
        <f aca="false">H500*I500</f>
        <v>1.76</v>
      </c>
    </row>
    <row r="501" customFormat="false" ht="15" hidden="false" customHeight="false" outlineLevel="0" collapsed="false">
      <c r="A501" s="60"/>
      <c r="B501" s="60"/>
      <c r="C501" s="60"/>
      <c r="D501" s="60"/>
      <c r="E501" s="60"/>
      <c r="F501" s="60"/>
      <c r="G501" s="60"/>
      <c r="H501" s="60"/>
      <c r="I501" s="80"/>
      <c r="J501" s="61" t="n">
        <f aca="false">SUM(J499:J500)</f>
        <v>2.183384</v>
      </c>
    </row>
    <row r="503" customFormat="false" ht="15" hidden="false" customHeight="false" outlineLevel="0" collapsed="false">
      <c r="A503" s="14" t="s">
        <v>278</v>
      </c>
      <c r="B503" s="82" t="str">
        <f aca="false">ARQUITECTURA!A40</f>
        <v>03.06.02</v>
      </c>
      <c r="C503" s="14" t="s">
        <v>824</v>
      </c>
      <c r="D503" s="14"/>
    </row>
    <row r="504" customFormat="false" ht="15" hidden="false" customHeight="false" outlineLevel="0" collapsed="false">
      <c r="A504" s="14" t="s">
        <v>279</v>
      </c>
      <c r="B504" s="14" t="s">
        <v>280</v>
      </c>
      <c r="C504" s="36" t="s">
        <v>281</v>
      </c>
      <c r="D504" s="52" t="n">
        <v>55</v>
      </c>
      <c r="E504" s="36" t="s">
        <v>282</v>
      </c>
      <c r="F504" s="52" t="n">
        <f aca="false">D504</f>
        <v>55</v>
      </c>
      <c r="G504" s="14" t="s">
        <v>283</v>
      </c>
      <c r="I504" s="36" t="s">
        <v>134</v>
      </c>
      <c r="J504" s="53" t="n">
        <f aca="false">J510+J518+J522</f>
        <v>15.9562854545455</v>
      </c>
    </row>
    <row r="505" customFormat="false" ht="15" hidden="false" customHeight="false" outlineLevel="0" collapsed="false">
      <c r="A505" s="14" t="s">
        <v>284</v>
      </c>
      <c r="B505" s="14" t="s">
        <v>285</v>
      </c>
      <c r="F505" s="36" t="s">
        <v>123</v>
      </c>
      <c r="G505" s="36" t="s">
        <v>286</v>
      </c>
      <c r="H505" s="36" t="s">
        <v>287</v>
      </c>
      <c r="I505" s="36" t="s">
        <v>288</v>
      </c>
      <c r="J505" s="36" t="s">
        <v>289</v>
      </c>
    </row>
    <row r="506" customFormat="false" ht="15" hidden="false" customHeight="false" outlineLevel="0" collapsed="false">
      <c r="B506" s="54" t="s">
        <v>290</v>
      </c>
    </row>
    <row r="507" customFormat="false" ht="15" hidden="false" customHeight="false" outlineLevel="0" collapsed="false">
      <c r="B507" s="1" t="s">
        <v>651</v>
      </c>
      <c r="F507" s="55" t="s">
        <v>292</v>
      </c>
      <c r="G507" s="56" t="n">
        <v>0.1</v>
      </c>
      <c r="H507" s="57" t="n">
        <f aca="false">G507*8/$D$504</f>
        <v>0.0145454545454545</v>
      </c>
      <c r="I507" s="28" t="n">
        <v>34.73</v>
      </c>
      <c r="J507" s="28" t="n">
        <f aca="false">H507*I507</f>
        <v>0.505163636363636</v>
      </c>
    </row>
    <row r="508" customFormat="false" ht="15" hidden="false" customHeight="false" outlineLevel="0" collapsed="false">
      <c r="B508" s="1" t="s">
        <v>291</v>
      </c>
      <c r="F508" s="55" t="s">
        <v>292</v>
      </c>
      <c r="G508" s="56" t="n">
        <v>1</v>
      </c>
      <c r="H508" s="57" t="n">
        <f aca="false">G508*8/$D$504</f>
        <v>0.145454545454545</v>
      </c>
      <c r="I508" s="28" t="n">
        <v>28.94</v>
      </c>
      <c r="J508" s="28" t="n">
        <f aca="false">H508*I508</f>
        <v>4.20945454545455</v>
      </c>
    </row>
    <row r="509" customFormat="false" ht="15" hidden="false" customHeight="false" outlineLevel="0" collapsed="false">
      <c r="B509" s="1" t="s">
        <v>294</v>
      </c>
      <c r="F509" s="55" t="s">
        <v>292</v>
      </c>
      <c r="G509" s="56" t="n">
        <v>1</v>
      </c>
      <c r="H509" s="57" t="n">
        <f aca="false">G509*8/$D$504</f>
        <v>0.145454545454545</v>
      </c>
      <c r="I509" s="1" t="n">
        <v>20.51</v>
      </c>
      <c r="J509" s="28" t="n">
        <f aca="false">H509*I509</f>
        <v>2.98327272727273</v>
      </c>
    </row>
    <row r="510" customFormat="false" ht="15" hidden="false" customHeight="false" outlineLevel="0" collapsed="false">
      <c r="F510" s="55"/>
      <c r="G510" s="56"/>
      <c r="H510" s="57"/>
      <c r="J510" s="53" t="n">
        <f aca="false">SUM(J507:J509)</f>
        <v>7.69789090909091</v>
      </c>
    </row>
    <row r="511" customFormat="false" ht="15" hidden="false" customHeight="false" outlineLevel="0" collapsed="false">
      <c r="B511" s="54" t="s">
        <v>654</v>
      </c>
      <c r="F511" s="55"/>
      <c r="G511" s="56"/>
      <c r="H511" s="28"/>
      <c r="J511" s="28"/>
    </row>
    <row r="512" customFormat="false" ht="15" hidden="false" customHeight="false" outlineLevel="0" collapsed="false">
      <c r="B512" s="1" t="s">
        <v>949</v>
      </c>
      <c r="F512" s="55" t="s">
        <v>150</v>
      </c>
      <c r="H512" s="28" t="n">
        <v>0.2</v>
      </c>
      <c r="I512" s="28" t="n">
        <v>0.85</v>
      </c>
      <c r="J512" s="28" t="n">
        <f aca="false">H512*I512</f>
        <v>0.17</v>
      </c>
    </row>
    <row r="513" customFormat="false" ht="15" hidden="false" customHeight="false" outlineLevel="0" collapsed="false">
      <c r="B513" s="1" t="s">
        <v>954</v>
      </c>
      <c r="F513" s="55" t="s">
        <v>440</v>
      </c>
      <c r="H513" s="28" t="n">
        <v>0.05</v>
      </c>
      <c r="I513" s="28" t="n">
        <v>56.9</v>
      </c>
      <c r="J513" s="28" t="n">
        <f aca="false">H513*I513</f>
        <v>2.845</v>
      </c>
    </row>
    <row r="514" customFormat="false" ht="15" hidden="false" customHeight="false" outlineLevel="0" collapsed="false">
      <c r="B514" s="1" t="s">
        <v>955</v>
      </c>
      <c r="F514" s="55" t="s">
        <v>440</v>
      </c>
      <c r="H514" s="28" t="n">
        <v>0.0066</v>
      </c>
      <c r="I514" s="28" t="n">
        <v>12.5</v>
      </c>
      <c r="J514" s="28" t="n">
        <f aca="false">H514*I514</f>
        <v>0.0825</v>
      </c>
    </row>
    <row r="515" customFormat="false" ht="15" hidden="false" customHeight="false" outlineLevel="0" collapsed="false">
      <c r="B515" s="1" t="s">
        <v>905</v>
      </c>
      <c r="F515" s="55" t="s">
        <v>331</v>
      </c>
      <c r="H515" s="28" t="n">
        <v>0.005</v>
      </c>
      <c r="I515" s="28" t="n">
        <v>30</v>
      </c>
      <c r="J515" s="28" t="n">
        <f aca="false">H515*I515</f>
        <v>0.15</v>
      </c>
    </row>
    <row r="516" customFormat="false" ht="15" hidden="false" customHeight="false" outlineLevel="0" collapsed="false">
      <c r="B516" s="1" t="s">
        <v>956</v>
      </c>
      <c r="F516" s="55" t="s">
        <v>440</v>
      </c>
      <c r="H516" s="28" t="n">
        <v>0.04</v>
      </c>
      <c r="I516" s="28" t="n">
        <v>25.5</v>
      </c>
      <c r="J516" s="28" t="n">
        <f aca="false">H516*I516</f>
        <v>1.02</v>
      </c>
    </row>
    <row r="517" customFormat="false" ht="15" hidden="false" customHeight="false" outlineLevel="0" collapsed="false">
      <c r="B517" s="1" t="s">
        <v>957</v>
      </c>
      <c r="F517" s="55" t="s">
        <v>440</v>
      </c>
      <c r="H517" s="28" t="n">
        <v>0.059</v>
      </c>
      <c r="I517" s="28" t="n">
        <v>34</v>
      </c>
      <c r="J517" s="28" t="n">
        <f aca="false">H517*I517</f>
        <v>2.006</v>
      </c>
    </row>
    <row r="518" customFormat="false" ht="15" hidden="false" customHeight="false" outlineLevel="0" collapsed="false">
      <c r="F518" s="55"/>
      <c r="H518" s="28"/>
      <c r="I518" s="28"/>
      <c r="J518" s="53" t="n">
        <f aca="false">SUM(J512:J517)</f>
        <v>6.2735</v>
      </c>
    </row>
    <row r="519" customFormat="false" ht="15" hidden="false" customHeight="false" outlineLevel="0" collapsed="false">
      <c r="B519" s="54" t="s">
        <v>310</v>
      </c>
    </row>
    <row r="520" customFormat="false" ht="15" hidden="false" customHeight="false" outlineLevel="0" collapsed="false">
      <c r="B520" s="1" t="s">
        <v>311</v>
      </c>
      <c r="F520" s="55" t="s">
        <v>312</v>
      </c>
      <c r="H520" s="57" t="n">
        <v>5</v>
      </c>
      <c r="I520" s="28" t="n">
        <f aca="false">J510</f>
        <v>7.69789090909091</v>
      </c>
      <c r="J520" s="28" t="n">
        <f aca="false">H520%*I520</f>
        <v>0.384894545454545</v>
      </c>
    </row>
    <row r="521" customFormat="false" ht="15" hidden="false" customHeight="false" outlineLevel="0" collapsed="false">
      <c r="B521" s="1" t="s">
        <v>929</v>
      </c>
      <c r="C521" s="132"/>
      <c r="D521" s="132"/>
      <c r="E521" s="132"/>
      <c r="F521" s="55" t="s">
        <v>338</v>
      </c>
      <c r="G521" s="56" t="n">
        <v>2</v>
      </c>
      <c r="H521" s="57" t="n">
        <f aca="false">G521*8/$D$504</f>
        <v>0.290909090909091</v>
      </c>
      <c r="I521" s="28" t="n">
        <v>5.5</v>
      </c>
      <c r="J521" s="28" t="n">
        <f aca="false">H521*I521</f>
        <v>1.6</v>
      </c>
    </row>
    <row r="522" customFormat="false" ht="15" hidden="false" customHeight="false" outlineLevel="0" collapsed="false">
      <c r="A522" s="60"/>
      <c r="B522" s="60"/>
      <c r="C522" s="60"/>
      <c r="D522" s="60"/>
      <c r="E522" s="60"/>
      <c r="F522" s="60"/>
      <c r="G522" s="60"/>
      <c r="H522" s="60"/>
      <c r="I522" s="80"/>
      <c r="J522" s="61" t="n">
        <f aca="false">SUM(J520:J521)</f>
        <v>1.98489454545455</v>
      </c>
    </row>
    <row r="524" customFormat="false" ht="15" hidden="false" customHeight="false" outlineLevel="0" collapsed="false">
      <c r="A524" s="14" t="s">
        <v>278</v>
      </c>
      <c r="B524" s="82" t="str">
        <f aca="false">ARQUITECTURA!A44</f>
        <v>03.07.01.01</v>
      </c>
      <c r="C524" s="14" t="s">
        <v>827</v>
      </c>
      <c r="D524" s="14"/>
      <c r="E524" s="14"/>
      <c r="F524" s="14"/>
      <c r="G524" s="14"/>
      <c r="H524" s="14"/>
      <c r="I524" s="14"/>
    </row>
    <row r="525" customFormat="false" ht="15" hidden="false" customHeight="false" outlineLevel="0" collapsed="false">
      <c r="A525" s="14" t="s">
        <v>279</v>
      </c>
      <c r="B525" s="14" t="s">
        <v>280</v>
      </c>
      <c r="C525" s="36" t="s">
        <v>281</v>
      </c>
      <c r="D525" s="52" t="n">
        <v>100</v>
      </c>
      <c r="E525" s="36" t="s">
        <v>282</v>
      </c>
      <c r="F525" s="52" t="n">
        <f aca="false">D525</f>
        <v>100</v>
      </c>
      <c r="G525" s="14" t="s">
        <v>283</v>
      </c>
      <c r="I525" s="36" t="s">
        <v>134</v>
      </c>
      <c r="J525" s="53" t="n">
        <f aca="false">J531+J535+J538</f>
        <v>13.4785886933566</v>
      </c>
    </row>
    <row r="526" customFormat="false" ht="15" hidden="false" customHeight="false" outlineLevel="0" collapsed="false">
      <c r="A526" s="14" t="s">
        <v>284</v>
      </c>
      <c r="B526" s="14" t="s">
        <v>285</v>
      </c>
      <c r="F526" s="36" t="s">
        <v>123</v>
      </c>
      <c r="G526" s="36" t="s">
        <v>286</v>
      </c>
      <c r="H526" s="36" t="s">
        <v>287</v>
      </c>
      <c r="I526" s="36" t="s">
        <v>288</v>
      </c>
      <c r="J526" s="36" t="s">
        <v>289</v>
      </c>
    </row>
    <row r="527" customFormat="false" ht="15" hidden="false" customHeight="false" outlineLevel="0" collapsed="false">
      <c r="B527" s="54" t="s">
        <v>290</v>
      </c>
    </row>
    <row r="528" customFormat="false" ht="15" hidden="false" customHeight="false" outlineLevel="0" collapsed="false">
      <c r="B528" s="1" t="s">
        <v>651</v>
      </c>
      <c r="F528" s="55" t="s">
        <v>292</v>
      </c>
      <c r="G528" s="56" t="n">
        <v>0.1</v>
      </c>
      <c r="H528" s="57" t="n">
        <f aca="false">G528*8/$D$525</f>
        <v>0.008</v>
      </c>
      <c r="I528" s="28" t="n">
        <v>34.73</v>
      </c>
      <c r="J528" s="28" t="n">
        <f aca="false">H528*I528</f>
        <v>0.27784</v>
      </c>
    </row>
    <row r="529" customFormat="false" ht="15" hidden="false" customHeight="false" outlineLevel="0" collapsed="false">
      <c r="B529" s="1" t="s">
        <v>680</v>
      </c>
      <c r="F529" s="55" t="s">
        <v>292</v>
      </c>
      <c r="G529" s="56" t="n">
        <v>1</v>
      </c>
      <c r="H529" s="57" t="n">
        <f aca="false">G529*8/$D$525</f>
        <v>0.08</v>
      </c>
      <c r="I529" s="28" t="n">
        <v>22.66</v>
      </c>
      <c r="J529" s="28" t="n">
        <f aca="false">H529*I529</f>
        <v>1.8128</v>
      </c>
    </row>
    <row r="530" customFormat="false" ht="15" hidden="false" customHeight="false" outlineLevel="0" collapsed="false">
      <c r="B530" s="1" t="s">
        <v>294</v>
      </c>
      <c r="F530" s="55" t="s">
        <v>292</v>
      </c>
      <c r="G530" s="56" t="n">
        <v>1</v>
      </c>
      <c r="H530" s="57" t="n">
        <f aca="false">G530*8/$D$525</f>
        <v>0.08</v>
      </c>
      <c r="I530" s="28" t="n">
        <v>20.51</v>
      </c>
      <c r="J530" s="28" t="n">
        <f aca="false">H530*I530</f>
        <v>1.6408</v>
      </c>
    </row>
    <row r="531" customFormat="false" ht="15" hidden="false" customHeight="false" outlineLevel="0" collapsed="false">
      <c r="F531" s="55"/>
      <c r="J531" s="53" t="n">
        <f aca="false">SUM(J528:J530)</f>
        <v>3.73144</v>
      </c>
    </row>
    <row r="532" customFormat="false" ht="15" hidden="false" customHeight="false" outlineLevel="0" collapsed="false">
      <c r="B532" s="54" t="s">
        <v>295</v>
      </c>
      <c r="F532" s="55"/>
    </row>
    <row r="533" customFormat="false" ht="15" hidden="false" customHeight="false" outlineLevel="0" collapsed="false">
      <c r="B533" s="1" t="s">
        <v>656</v>
      </c>
      <c r="F533" s="55" t="s">
        <v>204</v>
      </c>
      <c r="H533" s="57" t="n">
        <v>0.033</v>
      </c>
      <c r="I533" s="28" t="n">
        <v>6.14</v>
      </c>
      <c r="J533" s="28" t="n">
        <f aca="false">H533*I533</f>
        <v>0.20262</v>
      </c>
    </row>
    <row r="534" customFormat="false" ht="15" hidden="false" customHeight="false" outlineLevel="0" collapsed="false">
      <c r="B534" s="1" t="s">
        <v>958</v>
      </c>
      <c r="F534" s="55" t="s">
        <v>204</v>
      </c>
      <c r="H534" s="57" t="n">
        <v>0.15</v>
      </c>
      <c r="I534" s="28" t="n">
        <v>62.8839032890438</v>
      </c>
      <c r="J534" s="28" t="n">
        <f aca="false">H534*I534</f>
        <v>9.43258549335657</v>
      </c>
    </row>
    <row r="535" customFormat="false" ht="15" hidden="false" customHeight="false" outlineLevel="0" collapsed="false">
      <c r="F535" s="55"/>
      <c r="J535" s="53" t="n">
        <f aca="false">SUM(J533:J534)</f>
        <v>9.63520549335657</v>
      </c>
    </row>
    <row r="536" customFormat="false" ht="15" hidden="false" customHeight="false" outlineLevel="0" collapsed="false">
      <c r="B536" s="54" t="s">
        <v>318</v>
      </c>
      <c r="F536" s="55"/>
      <c r="G536" s="56"/>
    </row>
    <row r="537" customFormat="false" ht="15" hidden="false" customHeight="false" outlineLevel="0" collapsed="false">
      <c r="B537" s="1" t="s">
        <v>311</v>
      </c>
      <c r="F537" s="55" t="s">
        <v>312</v>
      </c>
      <c r="G537" s="56"/>
      <c r="H537" s="57" t="n">
        <v>3</v>
      </c>
      <c r="I537" s="28" t="n">
        <f aca="false">J531</f>
        <v>3.73144</v>
      </c>
      <c r="J537" s="28" t="n">
        <f aca="false">H537%*I537</f>
        <v>0.1119432</v>
      </c>
    </row>
    <row r="538" customFormat="false" ht="15" hidden="false" customHeight="false" outlineLevel="0" collapsed="false">
      <c r="A538" s="60"/>
      <c r="B538" s="60"/>
      <c r="C538" s="60"/>
      <c r="D538" s="60"/>
      <c r="E538" s="60"/>
      <c r="F538" s="60"/>
      <c r="G538" s="60"/>
      <c r="H538" s="60"/>
      <c r="I538" s="60"/>
      <c r="J538" s="61" t="n">
        <f aca="false">SUM(J537)</f>
        <v>0.1119432</v>
      </c>
    </row>
    <row r="539" customFormat="false" ht="15" hidden="false" customHeight="false" outlineLevel="0" collapsed="false">
      <c r="F539" s="55"/>
      <c r="G539" s="56"/>
      <c r="H539" s="57"/>
      <c r="I539" s="28"/>
      <c r="J539" s="28"/>
    </row>
    <row r="540" customFormat="false" ht="15" hidden="false" customHeight="false" outlineLevel="0" collapsed="false">
      <c r="A540" s="14" t="s">
        <v>278</v>
      </c>
      <c r="B540" s="82" t="str">
        <f aca="false">ARQUITECTURA!A45</f>
        <v>03.07.01.02</v>
      </c>
      <c r="C540" s="14" t="s">
        <v>829</v>
      </c>
      <c r="D540" s="14"/>
      <c r="E540" s="14"/>
      <c r="F540" s="14"/>
      <c r="G540" s="14"/>
      <c r="H540" s="14"/>
      <c r="I540" s="14"/>
    </row>
    <row r="541" customFormat="false" ht="15" hidden="false" customHeight="false" outlineLevel="0" collapsed="false">
      <c r="A541" s="14" t="s">
        <v>279</v>
      </c>
      <c r="B541" s="14" t="s">
        <v>280</v>
      </c>
      <c r="C541" s="36" t="s">
        <v>281</v>
      </c>
      <c r="D541" s="52" t="n">
        <v>20</v>
      </c>
      <c r="E541" s="36" t="s">
        <v>282</v>
      </c>
      <c r="F541" s="52" t="n">
        <f aca="false">D541</f>
        <v>20</v>
      </c>
      <c r="G541" s="14" t="s">
        <v>283</v>
      </c>
      <c r="I541" s="36" t="s">
        <v>134</v>
      </c>
      <c r="J541" s="53" t="n">
        <f aca="false">J547+J552+J555</f>
        <v>73.8521214933566</v>
      </c>
    </row>
    <row r="542" customFormat="false" ht="15" hidden="false" customHeight="false" outlineLevel="0" collapsed="false">
      <c r="A542" s="14" t="s">
        <v>284</v>
      </c>
      <c r="B542" s="14" t="s">
        <v>285</v>
      </c>
      <c r="F542" s="36" t="s">
        <v>123</v>
      </c>
      <c r="G542" s="36" t="s">
        <v>286</v>
      </c>
      <c r="H542" s="36" t="s">
        <v>287</v>
      </c>
      <c r="I542" s="36" t="s">
        <v>288</v>
      </c>
      <c r="J542" s="36" t="s">
        <v>289</v>
      </c>
    </row>
    <row r="543" customFormat="false" ht="15" hidden="false" customHeight="false" outlineLevel="0" collapsed="false">
      <c r="B543" s="54" t="s">
        <v>290</v>
      </c>
      <c r="M543" s="82"/>
    </row>
    <row r="544" customFormat="false" ht="15" hidden="false" customHeight="false" outlineLevel="0" collapsed="false">
      <c r="B544" s="1" t="s">
        <v>651</v>
      </c>
      <c r="F544" s="55" t="s">
        <v>292</v>
      </c>
      <c r="G544" s="56" t="n">
        <v>0.1</v>
      </c>
      <c r="H544" s="57" t="n">
        <f aca="false">G544*8/$D$541</f>
        <v>0.04</v>
      </c>
      <c r="I544" s="28" t="n">
        <v>34.73</v>
      </c>
      <c r="J544" s="28" t="n">
        <f aca="false">H544*I544</f>
        <v>1.3892</v>
      </c>
      <c r="M544" s="82"/>
    </row>
    <row r="545" customFormat="false" ht="15" hidden="false" customHeight="false" outlineLevel="0" collapsed="false">
      <c r="B545" s="1" t="s">
        <v>680</v>
      </c>
      <c r="F545" s="55" t="s">
        <v>292</v>
      </c>
      <c r="G545" s="56" t="n">
        <v>1</v>
      </c>
      <c r="H545" s="57" t="n">
        <f aca="false">G545*8/$D$541</f>
        <v>0.4</v>
      </c>
      <c r="I545" s="28" t="n">
        <v>22.66</v>
      </c>
      <c r="J545" s="28" t="n">
        <f aca="false">H545*I545</f>
        <v>9.064</v>
      </c>
      <c r="L545" s="82"/>
      <c r="M545" s="82"/>
    </row>
    <row r="546" customFormat="false" ht="15" hidden="false" customHeight="false" outlineLevel="0" collapsed="false">
      <c r="B546" s="1" t="s">
        <v>294</v>
      </c>
      <c r="F546" s="55" t="s">
        <v>292</v>
      </c>
      <c r="G546" s="56" t="n">
        <v>1</v>
      </c>
      <c r="H546" s="57" t="n">
        <f aca="false">G546*8/$D$541</f>
        <v>0.4</v>
      </c>
      <c r="I546" s="28" t="n">
        <v>20.51</v>
      </c>
      <c r="J546" s="28" t="n">
        <f aca="false">H546*I546</f>
        <v>8.204</v>
      </c>
      <c r="M546" s="82"/>
    </row>
    <row r="547" customFormat="false" ht="15" hidden="false" customHeight="false" outlineLevel="0" collapsed="false">
      <c r="F547" s="55"/>
      <c r="J547" s="53" t="n">
        <f aca="false">SUM(J544:J546)</f>
        <v>18.6572</v>
      </c>
      <c r="M547" s="82"/>
    </row>
    <row r="548" customFormat="false" ht="15" hidden="false" customHeight="false" outlineLevel="0" collapsed="false">
      <c r="B548" s="54" t="s">
        <v>295</v>
      </c>
      <c r="F548" s="55"/>
      <c r="L548" s="82"/>
      <c r="M548" s="82"/>
    </row>
    <row r="549" customFormat="false" ht="15" hidden="false" customHeight="false" outlineLevel="0" collapsed="false">
      <c r="B549" s="1" t="s">
        <v>656</v>
      </c>
      <c r="F549" s="55" t="s">
        <v>204</v>
      </c>
      <c r="H549" s="57" t="n">
        <v>0.033</v>
      </c>
      <c r="I549" s="28" t="n">
        <v>6.14</v>
      </c>
      <c r="J549" s="28" t="n">
        <f aca="false">H549*I549</f>
        <v>0.20262</v>
      </c>
      <c r="L549" s="82"/>
      <c r="M549" s="82"/>
    </row>
    <row r="550" customFormat="false" ht="15" hidden="false" customHeight="false" outlineLevel="0" collapsed="false">
      <c r="B550" s="1" t="s">
        <v>958</v>
      </c>
      <c r="F550" s="55" t="s">
        <v>204</v>
      </c>
      <c r="H550" s="57" t="n">
        <v>0.15</v>
      </c>
      <c r="I550" s="28" t="n">
        <v>62.8839032890438</v>
      </c>
      <c r="J550" s="28" t="n">
        <f aca="false">H550*I550</f>
        <v>9.43258549335657</v>
      </c>
      <c r="M550" s="82"/>
    </row>
    <row r="551" customFormat="false" ht="15" hidden="false" customHeight="false" outlineLevel="0" collapsed="false">
      <c r="B551" s="1" t="s">
        <v>959</v>
      </c>
      <c r="F551" s="55" t="s">
        <v>150</v>
      </c>
      <c r="H551" s="57" t="n">
        <v>1</v>
      </c>
      <c r="I551" s="28" t="n">
        <v>45</v>
      </c>
      <c r="J551" s="28" t="n">
        <f aca="false">H551*I551</f>
        <v>45</v>
      </c>
      <c r="M551" s="82"/>
    </row>
    <row r="552" customFormat="false" ht="15" hidden="false" customHeight="false" outlineLevel="0" collapsed="false">
      <c r="F552" s="55"/>
      <c r="J552" s="53" t="n">
        <f aca="false">SUM(J549:J551)</f>
        <v>54.6352054933566</v>
      </c>
      <c r="L552" s="82"/>
      <c r="M552" s="82"/>
    </row>
    <row r="553" customFormat="false" ht="15" hidden="false" customHeight="false" outlineLevel="0" collapsed="false">
      <c r="B553" s="54" t="s">
        <v>318</v>
      </c>
      <c r="F553" s="55"/>
      <c r="G553" s="56"/>
      <c r="M553" s="82"/>
    </row>
    <row r="554" customFormat="false" ht="15" hidden="false" customHeight="false" outlineLevel="0" collapsed="false">
      <c r="B554" s="1" t="s">
        <v>311</v>
      </c>
      <c r="F554" s="55" t="s">
        <v>312</v>
      </c>
      <c r="G554" s="56"/>
      <c r="H554" s="57" t="n">
        <v>3</v>
      </c>
      <c r="I554" s="28" t="n">
        <f aca="false">J547</f>
        <v>18.6572</v>
      </c>
      <c r="J554" s="28" t="n">
        <f aca="false">H554%*I554</f>
        <v>0.559716</v>
      </c>
    </row>
    <row r="555" customFormat="false" ht="15" hidden="false" customHeight="false" outlineLevel="0" collapsed="false">
      <c r="A555" s="60"/>
      <c r="B555" s="60"/>
      <c r="C555" s="60"/>
      <c r="D555" s="60"/>
      <c r="E555" s="60"/>
      <c r="F555" s="60"/>
      <c r="G555" s="60"/>
      <c r="H555" s="60"/>
      <c r="I555" s="60"/>
      <c r="J555" s="61" t="n">
        <f aca="false">SUM(J554)</f>
        <v>0.559716</v>
      </c>
    </row>
    <row r="557" customFormat="false" ht="15" hidden="false" customHeight="false" outlineLevel="0" collapsed="false">
      <c r="A557" s="14" t="s">
        <v>278</v>
      </c>
      <c r="B557" s="82" t="str">
        <f aca="false">ARQUITECTURA!A46</f>
        <v>03.07.01.03</v>
      </c>
      <c r="C557" s="14" t="s">
        <v>831</v>
      </c>
      <c r="E557" s="14"/>
      <c r="F557" s="14"/>
      <c r="G557" s="14"/>
      <c r="H557" s="14"/>
      <c r="I557" s="14"/>
    </row>
    <row r="558" customFormat="false" ht="15" hidden="false" customHeight="false" outlineLevel="0" collapsed="false">
      <c r="A558" s="14" t="s">
        <v>279</v>
      </c>
      <c r="B558" s="14" t="s">
        <v>280</v>
      </c>
      <c r="C558" s="36" t="s">
        <v>281</v>
      </c>
      <c r="D558" s="52" t="n">
        <v>20</v>
      </c>
      <c r="E558" s="36" t="s">
        <v>282</v>
      </c>
      <c r="F558" s="52" t="n">
        <f aca="false">D558</f>
        <v>20</v>
      </c>
      <c r="G558" s="14" t="s">
        <v>283</v>
      </c>
      <c r="I558" s="36" t="s">
        <v>134</v>
      </c>
      <c r="J558" s="53" t="n">
        <f aca="false">J564+J569+J572</f>
        <v>118.747741493357</v>
      </c>
    </row>
    <row r="559" customFormat="false" ht="15" hidden="false" customHeight="false" outlineLevel="0" collapsed="false">
      <c r="A559" s="14" t="s">
        <v>284</v>
      </c>
      <c r="B559" s="14" t="s">
        <v>285</v>
      </c>
      <c r="F559" s="36" t="s">
        <v>123</v>
      </c>
      <c r="G559" s="36" t="s">
        <v>286</v>
      </c>
      <c r="H559" s="36" t="s">
        <v>287</v>
      </c>
      <c r="I559" s="36" t="s">
        <v>288</v>
      </c>
      <c r="J559" s="36" t="s">
        <v>289</v>
      </c>
    </row>
    <row r="560" customFormat="false" ht="15" hidden="false" customHeight="false" outlineLevel="0" collapsed="false">
      <c r="B560" s="54" t="s">
        <v>290</v>
      </c>
    </row>
    <row r="561" customFormat="false" ht="15" hidden="false" customHeight="false" outlineLevel="0" collapsed="false">
      <c r="B561" s="1" t="s">
        <v>651</v>
      </c>
      <c r="F561" s="55" t="s">
        <v>292</v>
      </c>
      <c r="G561" s="56" t="n">
        <v>0.1</v>
      </c>
      <c r="H561" s="57" t="n">
        <f aca="false">G561*8/$D$558</f>
        <v>0.04</v>
      </c>
      <c r="I561" s="28" t="n">
        <v>34.73</v>
      </c>
      <c r="J561" s="28" t="n">
        <f aca="false">H561*I561</f>
        <v>1.3892</v>
      </c>
    </row>
    <row r="562" customFormat="false" ht="15" hidden="false" customHeight="false" outlineLevel="0" collapsed="false">
      <c r="B562" s="1" t="s">
        <v>680</v>
      </c>
      <c r="F562" s="55" t="s">
        <v>292</v>
      </c>
      <c r="G562" s="56" t="n">
        <v>1</v>
      </c>
      <c r="H562" s="57" t="n">
        <f aca="false">G562*8/$D$558</f>
        <v>0.4</v>
      </c>
      <c r="I562" s="28" t="n">
        <v>22.66</v>
      </c>
      <c r="J562" s="28" t="n">
        <f aca="false">H562*I562</f>
        <v>9.064</v>
      </c>
    </row>
    <row r="563" customFormat="false" ht="15" hidden="false" customHeight="false" outlineLevel="0" collapsed="false">
      <c r="B563" s="1" t="s">
        <v>294</v>
      </c>
      <c r="F563" s="55" t="s">
        <v>292</v>
      </c>
      <c r="G563" s="56" t="n">
        <v>1</v>
      </c>
      <c r="H563" s="57" t="n">
        <f aca="false">G563*8/$D$558</f>
        <v>0.4</v>
      </c>
      <c r="I563" s="28" t="n">
        <v>20.51</v>
      </c>
      <c r="J563" s="28" t="n">
        <f aca="false">H563*I563</f>
        <v>8.204</v>
      </c>
    </row>
    <row r="564" customFormat="false" ht="15" hidden="false" customHeight="false" outlineLevel="0" collapsed="false">
      <c r="F564" s="55"/>
      <c r="J564" s="53" t="n">
        <f aca="false">SUM(J561:J563)</f>
        <v>18.6572</v>
      </c>
    </row>
    <row r="565" customFormat="false" ht="15" hidden="false" customHeight="false" outlineLevel="0" collapsed="false">
      <c r="B565" s="54" t="s">
        <v>295</v>
      </c>
      <c r="F565" s="55"/>
    </row>
    <row r="566" customFormat="false" ht="15" hidden="false" customHeight="false" outlineLevel="0" collapsed="false">
      <c r="B566" s="1" t="s">
        <v>656</v>
      </c>
      <c r="F566" s="55" t="s">
        <v>204</v>
      </c>
      <c r="H566" s="57" t="n">
        <v>0.016</v>
      </c>
      <c r="I566" s="28" t="n">
        <v>6.14</v>
      </c>
      <c r="J566" s="28" t="n">
        <f aca="false">H566*I566</f>
        <v>0.09824</v>
      </c>
    </row>
    <row r="567" customFormat="false" ht="15" hidden="false" customHeight="false" outlineLevel="0" collapsed="false">
      <c r="B567" s="1" t="s">
        <v>958</v>
      </c>
      <c r="F567" s="55" t="s">
        <v>204</v>
      </c>
      <c r="H567" s="57" t="n">
        <v>0.15</v>
      </c>
      <c r="I567" s="28" t="n">
        <v>62.8839032890438</v>
      </c>
      <c r="J567" s="28" t="n">
        <f aca="false">H567*I567</f>
        <v>9.43258549335657</v>
      </c>
    </row>
    <row r="568" customFormat="false" ht="15" hidden="false" customHeight="false" outlineLevel="0" collapsed="false">
      <c r="B568" s="1" t="s">
        <v>960</v>
      </c>
      <c r="F568" s="55" t="s">
        <v>150</v>
      </c>
      <c r="H568" s="57" t="n">
        <v>1</v>
      </c>
      <c r="I568" s="28" t="n">
        <v>90</v>
      </c>
      <c r="J568" s="28" t="n">
        <f aca="false">H568*I568</f>
        <v>90</v>
      </c>
    </row>
    <row r="569" customFormat="false" ht="15" hidden="false" customHeight="false" outlineLevel="0" collapsed="false">
      <c r="F569" s="55"/>
      <c r="J569" s="53" t="n">
        <f aca="false">SUM(J566:J568)</f>
        <v>99.5308254933566</v>
      </c>
    </row>
    <row r="570" customFormat="false" ht="15" hidden="false" customHeight="false" outlineLevel="0" collapsed="false">
      <c r="B570" s="54" t="s">
        <v>318</v>
      </c>
      <c r="F570" s="55"/>
      <c r="G570" s="56"/>
    </row>
    <row r="571" customFormat="false" ht="15" hidden="false" customHeight="false" outlineLevel="0" collapsed="false">
      <c r="B571" s="1" t="s">
        <v>311</v>
      </c>
      <c r="F571" s="55" t="s">
        <v>312</v>
      </c>
      <c r="G571" s="56"/>
      <c r="H571" s="57" t="n">
        <v>3</v>
      </c>
      <c r="I571" s="28" t="n">
        <f aca="false">J564</f>
        <v>18.6572</v>
      </c>
      <c r="J571" s="28" t="n">
        <f aca="false">H571%*I571</f>
        <v>0.559716</v>
      </c>
    </row>
    <row r="572" customFormat="false" ht="15" hidden="false" customHeight="false" outlineLevel="0" collapsed="false">
      <c r="A572" s="60"/>
      <c r="B572" s="60"/>
      <c r="C572" s="60"/>
      <c r="D572" s="60"/>
      <c r="E572" s="60"/>
      <c r="F572" s="60"/>
      <c r="G572" s="60"/>
      <c r="H572" s="60"/>
      <c r="I572" s="60"/>
      <c r="J572" s="61" t="n">
        <f aca="false">SUM(J571)</f>
        <v>0.559716</v>
      </c>
    </row>
    <row r="574" customFormat="false" ht="15" hidden="false" customHeight="false" outlineLevel="0" collapsed="false">
      <c r="A574" s="14" t="s">
        <v>278</v>
      </c>
      <c r="B574" s="82" t="str">
        <f aca="false">ARQUITECTURA!A48</f>
        <v>03.07.02.01</v>
      </c>
      <c r="C574" s="14" t="s">
        <v>834</v>
      </c>
      <c r="D574" s="14"/>
      <c r="E574" s="14"/>
      <c r="F574" s="14"/>
      <c r="G574" s="14"/>
      <c r="H574" s="14"/>
      <c r="I574" s="14"/>
    </row>
    <row r="575" customFormat="false" ht="15" hidden="false" customHeight="false" outlineLevel="0" collapsed="false">
      <c r="A575" s="14" t="s">
        <v>279</v>
      </c>
      <c r="B575" s="14" t="s">
        <v>280</v>
      </c>
      <c r="C575" s="36" t="s">
        <v>281</v>
      </c>
      <c r="D575" s="52" t="n">
        <v>10</v>
      </c>
      <c r="E575" s="36" t="s">
        <v>282</v>
      </c>
      <c r="F575" s="52" t="n">
        <f aca="false">D575</f>
        <v>10</v>
      </c>
      <c r="G575" s="14" t="s">
        <v>283</v>
      </c>
      <c r="I575" s="36" t="s">
        <v>134</v>
      </c>
      <c r="J575" s="53" t="n">
        <f aca="false">J581+J585+J588</f>
        <v>51.058432</v>
      </c>
    </row>
    <row r="576" customFormat="false" ht="15" hidden="false" customHeight="false" outlineLevel="0" collapsed="false">
      <c r="A576" s="14" t="s">
        <v>284</v>
      </c>
      <c r="B576" s="14" t="s">
        <v>285</v>
      </c>
      <c r="F576" s="36" t="s">
        <v>123</v>
      </c>
      <c r="G576" s="36" t="s">
        <v>286</v>
      </c>
      <c r="H576" s="36" t="s">
        <v>287</v>
      </c>
      <c r="I576" s="36" t="s">
        <v>288</v>
      </c>
      <c r="J576" s="36" t="s">
        <v>289</v>
      </c>
    </row>
    <row r="577" customFormat="false" ht="15" hidden="false" customHeight="false" outlineLevel="0" collapsed="false">
      <c r="B577" s="54" t="s">
        <v>290</v>
      </c>
    </row>
    <row r="578" customFormat="false" ht="15" hidden="false" customHeight="false" outlineLevel="0" collapsed="false">
      <c r="B578" s="1" t="s">
        <v>651</v>
      </c>
      <c r="F578" s="55" t="s">
        <v>292</v>
      </c>
      <c r="G578" s="56" t="n">
        <v>0.1</v>
      </c>
      <c r="H578" s="57" t="n">
        <f aca="false">G578*8/$D$575</f>
        <v>0.08</v>
      </c>
      <c r="I578" s="28" t="n">
        <v>34.73</v>
      </c>
      <c r="J578" s="28" t="n">
        <f aca="false">H578*I578</f>
        <v>2.7784</v>
      </c>
    </row>
    <row r="579" customFormat="false" ht="15" hidden="false" customHeight="false" outlineLevel="0" collapsed="false">
      <c r="B579" s="1" t="s">
        <v>291</v>
      </c>
      <c r="F579" s="55" t="s">
        <v>292</v>
      </c>
      <c r="G579" s="56" t="n">
        <v>1</v>
      </c>
      <c r="H579" s="57" t="n">
        <f aca="false">G579*8/$D$575</f>
        <v>0.8</v>
      </c>
      <c r="I579" s="28" t="n">
        <v>28.94</v>
      </c>
      <c r="J579" s="28" t="n">
        <f aca="false">H579*I579</f>
        <v>23.152</v>
      </c>
    </row>
    <row r="580" customFormat="false" ht="15" hidden="false" customHeight="false" outlineLevel="0" collapsed="false">
      <c r="B580" s="1" t="s">
        <v>294</v>
      </c>
      <c r="F580" s="55" t="s">
        <v>292</v>
      </c>
      <c r="G580" s="56" t="n">
        <v>0.5</v>
      </c>
      <c r="H580" s="57" t="n">
        <f aca="false">G580*8/$D$575</f>
        <v>0.4</v>
      </c>
      <c r="I580" s="28" t="n">
        <v>20.51</v>
      </c>
      <c r="J580" s="28" t="n">
        <f aca="false">H580*I580</f>
        <v>8.204</v>
      </c>
    </row>
    <row r="581" customFormat="false" ht="15" hidden="false" customHeight="false" outlineLevel="0" collapsed="false">
      <c r="J581" s="53" t="n">
        <f aca="false">SUM(J578:J580)</f>
        <v>34.1344</v>
      </c>
    </row>
    <row r="582" customFormat="false" ht="15" hidden="false" customHeight="false" outlineLevel="0" collapsed="false">
      <c r="B582" s="54" t="s">
        <v>295</v>
      </c>
      <c r="F582" s="55"/>
    </row>
    <row r="583" customFormat="false" ht="15" hidden="false" customHeight="false" outlineLevel="0" collapsed="false">
      <c r="B583" s="1" t="s">
        <v>961</v>
      </c>
      <c r="F583" s="55" t="s">
        <v>440</v>
      </c>
      <c r="H583" s="57" t="n">
        <v>0.05</v>
      </c>
      <c r="I583" s="28" t="n">
        <v>18</v>
      </c>
      <c r="J583" s="28" t="n">
        <f aca="false">H583*I583</f>
        <v>0.9</v>
      </c>
    </row>
    <row r="584" customFormat="false" ht="15" hidden="false" customHeight="false" outlineLevel="0" collapsed="false">
      <c r="B584" s="1" t="s">
        <v>962</v>
      </c>
      <c r="F584" s="55" t="s">
        <v>440</v>
      </c>
      <c r="H584" s="57" t="n">
        <v>0.1</v>
      </c>
      <c r="I584" s="28" t="n">
        <v>150</v>
      </c>
      <c r="J584" s="28" t="n">
        <f aca="false">H584*I584</f>
        <v>15</v>
      </c>
    </row>
    <row r="585" customFormat="false" ht="15" hidden="false" customHeight="false" outlineLevel="0" collapsed="false">
      <c r="J585" s="53" t="n">
        <f aca="false">SUM(J583:J584)</f>
        <v>15.9</v>
      </c>
    </row>
    <row r="586" customFormat="false" ht="15" hidden="false" customHeight="false" outlineLevel="0" collapsed="false">
      <c r="B586" s="54" t="s">
        <v>318</v>
      </c>
    </row>
    <row r="587" customFormat="false" ht="15" hidden="false" customHeight="false" outlineLevel="0" collapsed="false">
      <c r="B587" s="1" t="s">
        <v>311</v>
      </c>
      <c r="F587" s="55" t="s">
        <v>312</v>
      </c>
      <c r="H587" s="57" t="n">
        <v>3</v>
      </c>
      <c r="I587" s="28" t="n">
        <f aca="false">J581</f>
        <v>34.1344</v>
      </c>
      <c r="J587" s="28" t="n">
        <f aca="false">H587%*I587</f>
        <v>1.024032</v>
      </c>
    </row>
    <row r="588" customFormat="false" ht="15" hidden="false" customHeight="false" outlineLevel="0" collapsed="false">
      <c r="A588" s="60"/>
      <c r="B588" s="60"/>
      <c r="C588" s="60"/>
      <c r="D588" s="60"/>
      <c r="E588" s="60"/>
      <c r="F588" s="60"/>
      <c r="G588" s="60"/>
      <c r="H588" s="60"/>
      <c r="I588" s="60"/>
      <c r="J588" s="61" t="n">
        <f aca="false">SUM(J587)</f>
        <v>1.024032</v>
      </c>
    </row>
    <row r="590" customFormat="false" ht="15" hidden="false" customHeight="false" outlineLevel="0" collapsed="false">
      <c r="A590" s="14" t="s">
        <v>278</v>
      </c>
      <c r="B590" s="82" t="str">
        <f aca="false">ARQUITECTURA!A50</f>
        <v>03.07.03.01</v>
      </c>
      <c r="C590" s="14" t="s">
        <v>963</v>
      </c>
      <c r="D590" s="14"/>
      <c r="E590" s="14"/>
      <c r="F590" s="14"/>
      <c r="G590" s="14"/>
      <c r="H590" s="14"/>
      <c r="I590" s="14"/>
    </row>
    <row r="591" customFormat="false" ht="15" hidden="false" customHeight="false" outlineLevel="0" collapsed="false">
      <c r="A591" s="14" t="s">
        <v>279</v>
      </c>
      <c r="B591" s="14" t="s">
        <v>280</v>
      </c>
      <c r="C591" s="36" t="s">
        <v>281</v>
      </c>
      <c r="D591" s="52" t="n">
        <v>10</v>
      </c>
      <c r="E591" s="36" t="s">
        <v>282</v>
      </c>
      <c r="F591" s="52" t="n">
        <f aca="false">D591</f>
        <v>10</v>
      </c>
      <c r="G591" s="14" t="s">
        <v>283</v>
      </c>
      <c r="I591" s="36" t="s">
        <v>134</v>
      </c>
      <c r="J591" s="53" t="n">
        <f aca="false">J597+J601+J604</f>
        <v>51.058432</v>
      </c>
    </row>
    <row r="592" customFormat="false" ht="15" hidden="false" customHeight="false" outlineLevel="0" collapsed="false">
      <c r="A592" s="14" t="s">
        <v>284</v>
      </c>
      <c r="B592" s="14" t="s">
        <v>285</v>
      </c>
      <c r="F592" s="36" t="s">
        <v>123</v>
      </c>
      <c r="G592" s="36" t="s">
        <v>286</v>
      </c>
      <c r="H592" s="36" t="s">
        <v>287</v>
      </c>
      <c r="I592" s="36" t="s">
        <v>288</v>
      </c>
      <c r="J592" s="36" t="s">
        <v>289</v>
      </c>
    </row>
    <row r="593" customFormat="false" ht="15" hidden="false" customHeight="false" outlineLevel="0" collapsed="false">
      <c r="B593" s="54" t="s">
        <v>290</v>
      </c>
    </row>
    <row r="594" customFormat="false" ht="15" hidden="false" customHeight="false" outlineLevel="0" collapsed="false">
      <c r="B594" s="1" t="s">
        <v>651</v>
      </c>
      <c r="F594" s="55" t="s">
        <v>292</v>
      </c>
      <c r="G594" s="56" t="n">
        <v>0.1</v>
      </c>
      <c r="H594" s="57" t="n">
        <f aca="false">G594*8/$D$591</f>
        <v>0.08</v>
      </c>
      <c r="I594" s="28" t="n">
        <v>34.73</v>
      </c>
      <c r="J594" s="28" t="n">
        <f aca="false">H594*I594</f>
        <v>2.7784</v>
      </c>
    </row>
    <row r="595" customFormat="false" ht="15" hidden="false" customHeight="false" outlineLevel="0" collapsed="false">
      <c r="B595" s="1" t="s">
        <v>291</v>
      </c>
      <c r="F595" s="55" t="s">
        <v>292</v>
      </c>
      <c r="G595" s="56" t="n">
        <v>1</v>
      </c>
      <c r="H595" s="57" t="n">
        <f aca="false">G595*8/$D$591</f>
        <v>0.8</v>
      </c>
      <c r="I595" s="28" t="n">
        <v>28.94</v>
      </c>
      <c r="J595" s="28" t="n">
        <f aca="false">H595*I595</f>
        <v>23.152</v>
      </c>
    </row>
    <row r="596" customFormat="false" ht="15" hidden="false" customHeight="false" outlineLevel="0" collapsed="false">
      <c r="B596" s="1" t="s">
        <v>294</v>
      </c>
      <c r="F596" s="55" t="s">
        <v>292</v>
      </c>
      <c r="G596" s="56" t="n">
        <v>0.5</v>
      </c>
      <c r="H596" s="57" t="n">
        <f aca="false">G596*8/$D$591</f>
        <v>0.4</v>
      </c>
      <c r="I596" s="28" t="n">
        <v>20.51</v>
      </c>
      <c r="J596" s="28" t="n">
        <f aca="false">H596*I596</f>
        <v>8.204</v>
      </c>
    </row>
    <row r="597" customFormat="false" ht="15" hidden="false" customHeight="false" outlineLevel="0" collapsed="false">
      <c r="J597" s="53" t="n">
        <f aca="false">SUM(J594:J596)</f>
        <v>34.1344</v>
      </c>
    </row>
    <row r="598" customFormat="false" ht="15" hidden="false" customHeight="false" outlineLevel="0" collapsed="false">
      <c r="B598" s="54" t="s">
        <v>295</v>
      </c>
      <c r="F598" s="55"/>
    </row>
    <row r="599" customFormat="false" ht="15" hidden="false" customHeight="false" outlineLevel="0" collapsed="false">
      <c r="B599" s="1" t="s">
        <v>961</v>
      </c>
      <c r="F599" s="55" t="s">
        <v>440</v>
      </c>
      <c r="H599" s="57" t="n">
        <v>0.05</v>
      </c>
      <c r="I599" s="28" t="n">
        <v>18</v>
      </c>
      <c r="J599" s="28" t="n">
        <f aca="false">H599*I599</f>
        <v>0.9</v>
      </c>
    </row>
    <row r="600" customFormat="false" ht="15" hidden="false" customHeight="false" outlineLevel="0" collapsed="false">
      <c r="B600" s="1" t="s">
        <v>962</v>
      </c>
      <c r="F600" s="55" t="s">
        <v>440</v>
      </c>
      <c r="H600" s="57" t="n">
        <v>0.1</v>
      </c>
      <c r="I600" s="28" t="n">
        <v>150</v>
      </c>
      <c r="J600" s="28" t="n">
        <f aca="false">H600*I600</f>
        <v>15</v>
      </c>
    </row>
    <row r="601" customFormat="false" ht="15" hidden="false" customHeight="false" outlineLevel="0" collapsed="false">
      <c r="J601" s="53" t="n">
        <f aca="false">SUM(J599:J600)</f>
        <v>15.9</v>
      </c>
    </row>
    <row r="602" customFormat="false" ht="15" hidden="false" customHeight="false" outlineLevel="0" collapsed="false">
      <c r="B602" s="54" t="s">
        <v>318</v>
      </c>
    </row>
    <row r="603" customFormat="false" ht="15" hidden="false" customHeight="false" outlineLevel="0" collapsed="false">
      <c r="B603" s="1" t="s">
        <v>311</v>
      </c>
      <c r="F603" s="55" t="s">
        <v>312</v>
      </c>
      <c r="H603" s="57" t="n">
        <v>3</v>
      </c>
      <c r="I603" s="28" t="n">
        <f aca="false">J597</f>
        <v>34.1344</v>
      </c>
      <c r="J603" s="28" t="n">
        <f aca="false">H603%*I603</f>
        <v>1.024032</v>
      </c>
    </row>
    <row r="604" customFormat="false" ht="15" hidden="false" customHeight="false" outlineLevel="0" collapsed="false">
      <c r="A604" s="60"/>
      <c r="B604" s="60"/>
      <c r="C604" s="60"/>
      <c r="D604" s="60"/>
      <c r="E604" s="60"/>
      <c r="F604" s="60"/>
      <c r="G604" s="60"/>
      <c r="H604" s="60"/>
      <c r="I604" s="60"/>
      <c r="J604" s="61" t="n">
        <f aca="false">SUM(J603)</f>
        <v>1.024032</v>
      </c>
    </row>
    <row r="606" customFormat="false" ht="15" hidden="false" customHeight="false" outlineLevel="0" collapsed="false">
      <c r="A606" s="14" t="s">
        <v>278</v>
      </c>
      <c r="B606" s="82" t="str">
        <f aca="false">ARQUITECTURA!A52</f>
        <v>03.07.04.01</v>
      </c>
      <c r="C606" s="14" t="s">
        <v>841</v>
      </c>
      <c r="D606" s="14"/>
      <c r="E606" s="14"/>
      <c r="F606" s="14"/>
      <c r="G606" s="14"/>
      <c r="H606" s="14"/>
      <c r="I606" s="14"/>
    </row>
    <row r="607" customFormat="false" ht="15" hidden="false" customHeight="false" outlineLevel="0" collapsed="false">
      <c r="A607" s="14" t="s">
        <v>279</v>
      </c>
      <c r="B607" s="14" t="s">
        <v>280</v>
      </c>
      <c r="C607" s="36" t="s">
        <v>281</v>
      </c>
      <c r="D607" s="52" t="n">
        <v>20</v>
      </c>
      <c r="E607" s="36" t="s">
        <v>282</v>
      </c>
      <c r="F607" s="52" t="n">
        <f aca="false">D607</f>
        <v>20</v>
      </c>
      <c r="G607" s="14" t="s">
        <v>283</v>
      </c>
      <c r="I607" s="36" t="s">
        <v>134</v>
      </c>
      <c r="J607" s="53" t="n">
        <f aca="false">J612+J615</f>
        <v>9.880996</v>
      </c>
    </row>
    <row r="608" customFormat="false" ht="15" hidden="false" customHeight="false" outlineLevel="0" collapsed="false">
      <c r="A608" s="14" t="s">
        <v>284</v>
      </c>
      <c r="B608" s="14" t="s">
        <v>285</v>
      </c>
      <c r="F608" s="36" t="s">
        <v>123</v>
      </c>
      <c r="G608" s="36" t="s">
        <v>286</v>
      </c>
      <c r="H608" s="36" t="s">
        <v>287</v>
      </c>
      <c r="I608" s="36" t="s">
        <v>288</v>
      </c>
      <c r="J608" s="36" t="s">
        <v>289</v>
      </c>
    </row>
    <row r="609" customFormat="false" ht="15" hidden="false" customHeight="false" outlineLevel="0" collapsed="false">
      <c r="B609" s="54" t="s">
        <v>290</v>
      </c>
    </row>
    <row r="610" customFormat="false" ht="15" hidden="false" customHeight="false" outlineLevel="0" collapsed="false">
      <c r="B610" s="1" t="s">
        <v>651</v>
      </c>
      <c r="F610" s="55" t="s">
        <v>292</v>
      </c>
      <c r="G610" s="56" t="n">
        <v>0.1</v>
      </c>
      <c r="H610" s="57" t="n">
        <f aca="false">G610*8/$D$607</f>
        <v>0.04</v>
      </c>
      <c r="I610" s="28" t="n">
        <v>34.73</v>
      </c>
      <c r="J610" s="28" t="n">
        <f aca="false">H610*I610</f>
        <v>1.3892</v>
      </c>
    </row>
    <row r="611" customFormat="false" ht="15" hidden="false" customHeight="false" outlineLevel="0" collapsed="false">
      <c r="B611" s="1" t="s">
        <v>294</v>
      </c>
      <c r="F611" s="55" t="s">
        <v>292</v>
      </c>
      <c r="G611" s="56" t="n">
        <v>1</v>
      </c>
      <c r="H611" s="57" t="n">
        <f aca="false">G611*8/$D$607</f>
        <v>0.4</v>
      </c>
      <c r="I611" s="28" t="n">
        <v>20.51</v>
      </c>
      <c r="J611" s="28" t="n">
        <f aca="false">H611*I611</f>
        <v>8.204</v>
      </c>
    </row>
    <row r="612" customFormat="false" ht="15" hidden="false" customHeight="false" outlineLevel="0" collapsed="false">
      <c r="J612" s="53" t="n">
        <f aca="false">SUM(J610:J611)</f>
        <v>9.5932</v>
      </c>
    </row>
    <row r="613" customFormat="false" ht="15" hidden="false" customHeight="false" outlineLevel="0" collapsed="false">
      <c r="B613" s="54" t="s">
        <v>318</v>
      </c>
    </row>
    <row r="614" customFormat="false" ht="15" hidden="false" customHeight="false" outlineLevel="0" collapsed="false">
      <c r="B614" s="1" t="s">
        <v>311</v>
      </c>
      <c r="F614" s="55" t="s">
        <v>312</v>
      </c>
      <c r="H614" s="57" t="n">
        <v>3</v>
      </c>
      <c r="I614" s="28" t="n">
        <f aca="false">J612</f>
        <v>9.5932</v>
      </c>
      <c r="J614" s="28" t="n">
        <f aca="false">H614%*I614</f>
        <v>0.287796</v>
      </c>
    </row>
    <row r="615" customFormat="false" ht="15" hidden="false" customHeight="false" outlineLevel="0" collapsed="false">
      <c r="A615" s="60"/>
      <c r="B615" s="60"/>
      <c r="C615" s="60"/>
      <c r="D615" s="60"/>
      <c r="E615" s="60"/>
      <c r="F615" s="60"/>
      <c r="G615" s="60"/>
      <c r="H615" s="60"/>
      <c r="I615" s="60"/>
      <c r="J615" s="61" t="n">
        <f aca="false">SUM(J614)</f>
        <v>0.287796</v>
      </c>
    </row>
    <row r="617" customFormat="false" ht="15" hidden="false" customHeight="false" outlineLevel="0" collapsed="false">
      <c r="A617" s="14" t="s">
        <v>278</v>
      </c>
      <c r="B617" s="82" t="str">
        <f aca="false">ARQUITECTURA!A54</f>
        <v>03.07.05.01</v>
      </c>
      <c r="C617" s="14" t="s">
        <v>844</v>
      </c>
      <c r="D617" s="14"/>
      <c r="E617" s="14"/>
      <c r="F617" s="14"/>
      <c r="G617" s="14"/>
      <c r="H617" s="14"/>
      <c r="I617" s="14"/>
      <c r="M617" s="82"/>
      <c r="N617" s="82"/>
    </row>
    <row r="618" customFormat="false" ht="15" hidden="false" customHeight="false" outlineLevel="0" collapsed="false">
      <c r="A618" s="14" t="s">
        <v>279</v>
      </c>
      <c r="B618" s="14" t="s">
        <v>332</v>
      </c>
      <c r="C618" s="36" t="s">
        <v>281</v>
      </c>
      <c r="D618" s="52" t="n">
        <v>1</v>
      </c>
      <c r="E618" s="36" t="s">
        <v>282</v>
      </c>
      <c r="F618" s="52" t="n">
        <f aca="false">D618</f>
        <v>1</v>
      </c>
      <c r="G618" s="14" t="s">
        <v>283</v>
      </c>
      <c r="I618" s="36" t="s">
        <v>155</v>
      </c>
      <c r="J618" s="53" t="n">
        <f aca="false">J622</f>
        <v>22</v>
      </c>
      <c r="N618" s="82"/>
    </row>
    <row r="619" customFormat="false" ht="15" hidden="false" customHeight="false" outlineLevel="0" collapsed="false">
      <c r="A619" s="14" t="s">
        <v>284</v>
      </c>
      <c r="B619" s="14" t="s">
        <v>285</v>
      </c>
      <c r="F619" s="36" t="s">
        <v>123</v>
      </c>
      <c r="G619" s="36" t="s">
        <v>286</v>
      </c>
      <c r="H619" s="36" t="s">
        <v>287</v>
      </c>
      <c r="I619" s="36" t="s">
        <v>288</v>
      </c>
      <c r="J619" s="36" t="s">
        <v>289</v>
      </c>
      <c r="M619" s="82"/>
      <c r="N619" s="82"/>
    </row>
    <row r="620" customFormat="false" ht="15" hidden="false" customHeight="false" outlineLevel="0" collapsed="false">
      <c r="B620" s="54" t="s">
        <v>295</v>
      </c>
      <c r="N620" s="82"/>
    </row>
    <row r="621" customFormat="false" ht="15" hidden="false" customHeight="false" outlineLevel="0" collapsed="false">
      <c r="B621" s="1" t="s">
        <v>964</v>
      </c>
      <c r="F621" s="55" t="s">
        <v>150</v>
      </c>
      <c r="G621" s="56"/>
      <c r="H621" s="57" t="n">
        <v>1</v>
      </c>
      <c r="I621" s="1" t="n">
        <v>22</v>
      </c>
      <c r="J621" s="28" t="n">
        <f aca="false">H621*I621</f>
        <v>22</v>
      </c>
      <c r="M621" s="82"/>
      <c r="N621" s="82"/>
    </row>
    <row r="622" customFormat="false" ht="15" hidden="false" customHeight="false" outlineLevel="0" collapsed="false">
      <c r="A622" s="60"/>
      <c r="B622" s="60"/>
      <c r="C622" s="60"/>
      <c r="D622" s="60"/>
      <c r="E622" s="60"/>
      <c r="F622" s="60"/>
      <c r="G622" s="60"/>
      <c r="H622" s="60"/>
      <c r="I622" s="60"/>
      <c r="J622" s="61" t="n">
        <f aca="false">SUM(J621)</f>
        <v>22</v>
      </c>
      <c r="N622" s="82"/>
    </row>
    <row r="623" customFormat="false" ht="15" hidden="false" customHeight="false" outlineLevel="0" collapsed="false">
      <c r="M623" s="82"/>
      <c r="N623" s="82"/>
    </row>
    <row r="624" customFormat="false" ht="15" hidden="false" customHeight="false" outlineLevel="0" collapsed="false">
      <c r="A624" s="14" t="s">
        <v>278</v>
      </c>
      <c r="B624" s="82" t="str">
        <f aca="false">ARQUITECTURA!A56</f>
        <v>03.07.06.01</v>
      </c>
      <c r="C624" s="14" t="s">
        <v>82</v>
      </c>
      <c r="D624" s="14"/>
      <c r="E624" s="14"/>
      <c r="F624" s="14"/>
      <c r="G624" s="14"/>
      <c r="H624" s="14"/>
      <c r="I624" s="14"/>
      <c r="M624" s="82"/>
      <c r="N624" s="82"/>
    </row>
    <row r="625" customFormat="false" ht="15" hidden="false" customHeight="false" outlineLevel="0" collapsed="false">
      <c r="A625" s="14" t="s">
        <v>279</v>
      </c>
      <c r="B625" s="14" t="s">
        <v>280</v>
      </c>
      <c r="C625" s="36" t="s">
        <v>281</v>
      </c>
      <c r="D625" s="52" t="n">
        <v>1</v>
      </c>
      <c r="E625" s="36" t="s">
        <v>282</v>
      </c>
      <c r="F625" s="52" t="n">
        <f aca="false">D625</f>
        <v>1</v>
      </c>
      <c r="G625" s="14" t="s">
        <v>283</v>
      </c>
      <c r="I625" s="36" t="s">
        <v>134</v>
      </c>
      <c r="J625" s="53" t="n">
        <f aca="false">J629</f>
        <v>75.46</v>
      </c>
      <c r="M625" s="82"/>
      <c r="N625" s="82"/>
    </row>
    <row r="626" customFormat="false" ht="15" hidden="false" customHeight="false" outlineLevel="0" collapsed="false">
      <c r="A626" s="14" t="s">
        <v>284</v>
      </c>
      <c r="B626" s="14" t="s">
        <v>285</v>
      </c>
      <c r="F626" s="36" t="s">
        <v>123</v>
      </c>
      <c r="G626" s="36" t="s">
        <v>286</v>
      </c>
      <c r="H626" s="36" t="s">
        <v>287</v>
      </c>
      <c r="I626" s="36" t="s">
        <v>288</v>
      </c>
      <c r="J626" s="36" t="s">
        <v>289</v>
      </c>
      <c r="N626" s="82"/>
    </row>
    <row r="627" customFormat="false" ht="15" hidden="false" customHeight="false" outlineLevel="0" collapsed="false">
      <c r="B627" s="54" t="s">
        <v>295</v>
      </c>
      <c r="M627" s="82"/>
      <c r="N627" s="82"/>
    </row>
    <row r="628" customFormat="false" ht="15" hidden="false" customHeight="false" outlineLevel="0" collapsed="false">
      <c r="B628" s="1" t="s">
        <v>82</v>
      </c>
      <c r="F628" s="55" t="s">
        <v>134</v>
      </c>
      <c r="G628" s="56"/>
      <c r="H628" s="57" t="n">
        <v>1</v>
      </c>
      <c r="I628" s="1" t="n">
        <v>75.46</v>
      </c>
      <c r="J628" s="28" t="n">
        <f aca="false">H628*I628</f>
        <v>75.46</v>
      </c>
      <c r="N628" s="82"/>
    </row>
    <row r="629" customFormat="false" ht="15" hidden="false" customHeight="false" outlineLevel="0" collapsed="false">
      <c r="A629" s="60"/>
      <c r="B629" s="60"/>
      <c r="C629" s="60"/>
      <c r="D629" s="60"/>
      <c r="E629" s="60"/>
      <c r="F629" s="60"/>
      <c r="G629" s="60"/>
      <c r="H629" s="60"/>
      <c r="I629" s="60"/>
      <c r="J629" s="61" t="n">
        <f aca="false">SUM(J628)</f>
        <v>75.46</v>
      </c>
    </row>
    <row r="631" customFormat="false" ht="15" hidden="false" customHeight="false" outlineLevel="0" collapsed="false">
      <c r="A631" s="14" t="s">
        <v>278</v>
      </c>
      <c r="B631" s="82" t="str">
        <f aca="false">ARQUITECTURA!A58</f>
        <v>03.07.07.01</v>
      </c>
      <c r="C631" s="14" t="s">
        <v>965</v>
      </c>
      <c r="D631" s="14"/>
    </row>
    <row r="632" customFormat="false" ht="15" hidden="false" customHeight="false" outlineLevel="0" collapsed="false">
      <c r="A632" s="14" t="s">
        <v>279</v>
      </c>
      <c r="B632" s="14" t="s">
        <v>314</v>
      </c>
      <c r="C632" s="36" t="s">
        <v>281</v>
      </c>
      <c r="D632" s="52" t="n">
        <v>1</v>
      </c>
      <c r="E632" s="36" t="s">
        <v>282</v>
      </c>
      <c r="F632" s="52" t="n">
        <f aca="false">D632</f>
        <v>1</v>
      </c>
      <c r="G632" s="14" t="s">
        <v>283</v>
      </c>
      <c r="I632" s="36" t="s">
        <v>145</v>
      </c>
      <c r="J632" s="53" t="n">
        <f aca="false">J636</f>
        <v>110.42</v>
      </c>
    </row>
    <row r="633" customFormat="false" ht="15" hidden="false" customHeight="false" outlineLevel="0" collapsed="false">
      <c r="A633" s="14" t="s">
        <v>284</v>
      </c>
      <c r="B633" s="14" t="s">
        <v>285</v>
      </c>
      <c r="F633" s="36" t="s">
        <v>123</v>
      </c>
      <c r="G633" s="36" t="s">
        <v>286</v>
      </c>
      <c r="H633" s="36" t="s">
        <v>287</v>
      </c>
      <c r="I633" s="36" t="s">
        <v>288</v>
      </c>
      <c r="J633" s="36" t="s">
        <v>289</v>
      </c>
    </row>
    <row r="634" customFormat="false" ht="15" hidden="false" customHeight="false" outlineLevel="0" collapsed="false">
      <c r="B634" s="54" t="s">
        <v>295</v>
      </c>
    </row>
    <row r="635" customFormat="false" ht="15" hidden="false" customHeight="false" outlineLevel="0" collapsed="false">
      <c r="B635" s="1" t="s">
        <v>965</v>
      </c>
      <c r="F635" s="55" t="s">
        <v>145</v>
      </c>
      <c r="H635" s="1" t="n">
        <v>1</v>
      </c>
      <c r="I635" s="28" t="n">
        <v>110.42</v>
      </c>
      <c r="J635" s="28" t="n">
        <f aca="false">H635*I635</f>
        <v>110.42</v>
      </c>
    </row>
    <row r="636" customFormat="false" ht="15" hidden="false" customHeight="false" outlineLevel="0" collapsed="false">
      <c r="A636" s="60"/>
      <c r="B636" s="60"/>
      <c r="C636" s="60"/>
      <c r="D636" s="60"/>
      <c r="E636" s="60"/>
      <c r="F636" s="60"/>
      <c r="G636" s="60"/>
      <c r="H636" s="60"/>
      <c r="I636" s="80"/>
      <c r="J636" s="61" t="n">
        <f aca="false">SUM(J635)</f>
        <v>110.42</v>
      </c>
    </row>
    <row r="638" customFormat="false" ht="15" hidden="false" customHeight="false" outlineLevel="0" collapsed="false">
      <c r="A638" s="14" t="s">
        <v>278</v>
      </c>
      <c r="B638" s="82" t="str">
        <f aca="false">ARQUITECTURA!A59</f>
        <v>03.07.07.02</v>
      </c>
      <c r="C638" s="14" t="s">
        <v>851</v>
      </c>
      <c r="D638" s="14"/>
      <c r="E638" s="14"/>
      <c r="F638" s="14"/>
      <c r="G638" s="14"/>
      <c r="H638" s="14"/>
      <c r="I638" s="14"/>
      <c r="M638" s="82"/>
      <c r="N638" s="82"/>
    </row>
    <row r="639" customFormat="false" ht="15" hidden="false" customHeight="false" outlineLevel="0" collapsed="false">
      <c r="A639" s="14" t="s">
        <v>279</v>
      </c>
      <c r="B639" s="14" t="s">
        <v>280</v>
      </c>
      <c r="C639" s="36" t="s">
        <v>281</v>
      </c>
      <c r="D639" s="52" t="n">
        <v>6.5</v>
      </c>
      <c r="E639" s="36" t="s">
        <v>282</v>
      </c>
      <c r="F639" s="52" t="n">
        <f aca="false">D639</f>
        <v>6.5</v>
      </c>
      <c r="G639" s="14" t="s">
        <v>283</v>
      </c>
      <c r="I639" s="36" t="s">
        <v>134</v>
      </c>
      <c r="J639" s="53" t="n">
        <f aca="false">J645+J653+J656</f>
        <v>67.7683724615385</v>
      </c>
    </row>
    <row r="640" customFormat="false" ht="15" hidden="false" customHeight="false" outlineLevel="0" collapsed="false">
      <c r="A640" s="14" t="s">
        <v>284</v>
      </c>
      <c r="B640" s="14" t="s">
        <v>285</v>
      </c>
      <c r="F640" s="36" t="s">
        <v>123</v>
      </c>
      <c r="G640" s="36" t="s">
        <v>286</v>
      </c>
      <c r="H640" s="36" t="s">
        <v>287</v>
      </c>
      <c r="I640" s="36" t="s">
        <v>288</v>
      </c>
      <c r="J640" s="36" t="s">
        <v>289</v>
      </c>
    </row>
    <row r="641" customFormat="false" ht="15" hidden="false" customHeight="false" outlineLevel="0" collapsed="false">
      <c r="B641" s="54" t="s">
        <v>290</v>
      </c>
    </row>
    <row r="642" customFormat="false" ht="15" hidden="false" customHeight="false" outlineLevel="0" collapsed="false">
      <c r="B642" s="1" t="s">
        <v>651</v>
      </c>
      <c r="F642" s="55" t="s">
        <v>292</v>
      </c>
      <c r="G642" s="56" t="n">
        <v>0.1</v>
      </c>
      <c r="H642" s="57" t="n">
        <f aca="false">G642*8/$D$639</f>
        <v>0.123076923076923</v>
      </c>
      <c r="I642" s="28" t="n">
        <v>34.73</v>
      </c>
      <c r="J642" s="28" t="n">
        <f aca="false">H642*I642</f>
        <v>4.27446153846154</v>
      </c>
    </row>
    <row r="643" customFormat="false" ht="15" hidden="false" customHeight="false" outlineLevel="0" collapsed="false">
      <c r="B643" s="1" t="s">
        <v>291</v>
      </c>
      <c r="F643" s="55" t="s">
        <v>292</v>
      </c>
      <c r="G643" s="56" t="n">
        <v>1</v>
      </c>
      <c r="H643" s="57" t="n">
        <f aca="false">G643*8/$D$639</f>
        <v>1.23076923076923</v>
      </c>
      <c r="I643" s="28" t="n">
        <v>28.94</v>
      </c>
      <c r="J643" s="28" t="n">
        <f aca="false">H643*I643</f>
        <v>35.6184615384615</v>
      </c>
    </row>
    <row r="644" customFormat="false" ht="15" hidden="false" customHeight="false" outlineLevel="0" collapsed="false">
      <c r="B644" s="1" t="s">
        <v>294</v>
      </c>
      <c r="F644" s="55" t="s">
        <v>292</v>
      </c>
      <c r="G644" s="56" t="n">
        <v>0.4</v>
      </c>
      <c r="H644" s="57" t="n">
        <f aca="false">G644*8/$D$639</f>
        <v>0.492307692307692</v>
      </c>
      <c r="I644" s="28" t="n">
        <v>20.51</v>
      </c>
      <c r="J644" s="28" t="n">
        <f aca="false">H644*I644</f>
        <v>10.0972307692308</v>
      </c>
    </row>
    <row r="645" customFormat="false" ht="15" hidden="false" customHeight="false" outlineLevel="0" collapsed="false">
      <c r="H645" s="57"/>
      <c r="J645" s="53" t="n">
        <f aca="false">SUM(J642:J644)</f>
        <v>49.9901538461539</v>
      </c>
    </row>
    <row r="646" customFormat="false" ht="15" hidden="false" customHeight="false" outlineLevel="0" collapsed="false">
      <c r="B646" s="54" t="s">
        <v>295</v>
      </c>
      <c r="F646" s="55"/>
    </row>
    <row r="647" customFormat="false" ht="15" hidden="false" customHeight="false" outlineLevel="0" collapsed="false">
      <c r="B647" s="1" t="s">
        <v>665</v>
      </c>
      <c r="F647" s="55" t="s">
        <v>204</v>
      </c>
      <c r="H647" s="57" t="n">
        <v>0.004</v>
      </c>
      <c r="I647" s="28" t="n">
        <v>6.14</v>
      </c>
      <c r="J647" s="28" t="n">
        <f aca="false">H647*I647</f>
        <v>0.02456</v>
      </c>
    </row>
    <row r="648" customFormat="false" ht="15" hidden="false" customHeight="false" outlineLevel="0" collapsed="false">
      <c r="B648" s="1" t="s">
        <v>302</v>
      </c>
      <c r="F648" s="55" t="s">
        <v>297</v>
      </c>
      <c r="H648" s="57" t="n">
        <v>0.044</v>
      </c>
      <c r="I648" s="28" t="n">
        <v>5.51</v>
      </c>
      <c r="J648" s="28" t="n">
        <f aca="false">H648*I648</f>
        <v>0.24244</v>
      </c>
    </row>
    <row r="649" customFormat="false" ht="15" hidden="false" customHeight="false" outlineLevel="0" collapsed="false">
      <c r="B649" s="1" t="s">
        <v>966</v>
      </c>
      <c r="F649" s="55" t="s">
        <v>306</v>
      </c>
      <c r="H649" s="57" t="n">
        <v>0.0388</v>
      </c>
      <c r="I649" s="28" t="n">
        <v>17.48</v>
      </c>
      <c r="J649" s="28" t="n">
        <f aca="false">H649*I649</f>
        <v>0.678224</v>
      </c>
    </row>
    <row r="650" customFormat="false" ht="15" hidden="false" customHeight="false" outlineLevel="0" collapsed="false">
      <c r="B650" s="1" t="s">
        <v>722</v>
      </c>
      <c r="F650" s="55" t="s">
        <v>432</v>
      </c>
      <c r="H650" s="57" t="n">
        <v>0.117</v>
      </c>
      <c r="I650" s="28" t="n">
        <v>24.52</v>
      </c>
      <c r="J650" s="28" t="n">
        <f aca="false">H650*I650</f>
        <v>2.86884</v>
      </c>
    </row>
    <row r="651" customFormat="false" ht="15" hidden="false" customHeight="false" outlineLevel="0" collapsed="false">
      <c r="B651" s="1" t="s">
        <v>896</v>
      </c>
      <c r="F651" s="55" t="s">
        <v>204</v>
      </c>
      <c r="H651" s="57" t="n">
        <v>0.017</v>
      </c>
      <c r="I651" s="28" t="n">
        <v>50.85</v>
      </c>
      <c r="J651" s="28" t="n">
        <f aca="false">H651*I651</f>
        <v>0.86445</v>
      </c>
    </row>
    <row r="652" customFormat="false" ht="15" hidden="false" customHeight="false" outlineLevel="0" collapsed="false">
      <c r="B652" s="1" t="s">
        <v>309</v>
      </c>
      <c r="F652" s="55" t="s">
        <v>306</v>
      </c>
      <c r="H652" s="57" t="n">
        <v>2</v>
      </c>
      <c r="I652" s="28" t="n">
        <v>5.8</v>
      </c>
      <c r="J652" s="28" t="n">
        <f aca="false">H652*I652</f>
        <v>11.6</v>
      </c>
    </row>
    <row r="653" customFormat="false" ht="15" hidden="false" customHeight="false" outlineLevel="0" collapsed="false">
      <c r="J653" s="53" t="n">
        <f aca="false">SUM(J647:J652)</f>
        <v>16.278514</v>
      </c>
    </row>
    <row r="654" customFormat="false" ht="15" hidden="false" customHeight="false" outlineLevel="0" collapsed="false">
      <c r="B654" s="54" t="s">
        <v>318</v>
      </c>
    </row>
    <row r="655" customFormat="false" ht="15" hidden="false" customHeight="false" outlineLevel="0" collapsed="false">
      <c r="B655" s="1" t="s">
        <v>311</v>
      </c>
      <c r="F655" s="55" t="s">
        <v>312</v>
      </c>
      <c r="H655" s="57" t="n">
        <v>3</v>
      </c>
      <c r="I655" s="28" t="n">
        <f aca="false">J645</f>
        <v>49.9901538461539</v>
      </c>
      <c r="J655" s="28" t="n">
        <f aca="false">H655%*I655</f>
        <v>1.49970461538462</v>
      </c>
    </row>
    <row r="656" customFormat="false" ht="15" hidden="false" customHeight="false" outlineLevel="0" collapsed="false">
      <c r="A656" s="60"/>
      <c r="B656" s="60"/>
      <c r="C656" s="60"/>
      <c r="D656" s="60"/>
      <c r="E656" s="60"/>
      <c r="F656" s="60"/>
      <c r="G656" s="60"/>
      <c r="H656" s="60"/>
      <c r="I656" s="60"/>
      <c r="J656" s="61" t="n">
        <f aca="false">SUM(J655)</f>
        <v>1.49970461538462</v>
      </c>
    </row>
    <row r="658" customFormat="false" ht="15" hidden="false" customHeight="false" outlineLevel="0" collapsed="false">
      <c r="A658" s="14" t="s">
        <v>278</v>
      </c>
      <c r="B658" s="82" t="str">
        <f aca="false">ARQUITECTURA!A60</f>
        <v>03.07.07.03</v>
      </c>
      <c r="C658" s="14" t="s">
        <v>967</v>
      </c>
      <c r="D658" s="14"/>
      <c r="E658" s="14"/>
      <c r="F658" s="14"/>
      <c r="G658" s="14"/>
      <c r="H658" s="14"/>
      <c r="I658" s="14"/>
    </row>
    <row r="659" customFormat="false" ht="15" hidden="false" customHeight="false" outlineLevel="0" collapsed="false">
      <c r="A659" s="14" t="s">
        <v>279</v>
      </c>
      <c r="B659" s="14" t="s">
        <v>280</v>
      </c>
      <c r="C659" s="36" t="s">
        <v>281</v>
      </c>
      <c r="D659" s="52" t="n">
        <v>1</v>
      </c>
      <c r="E659" s="36" t="s">
        <v>282</v>
      </c>
      <c r="F659" s="52" t="n">
        <f aca="false">D659</f>
        <v>1</v>
      </c>
      <c r="G659" s="14" t="s">
        <v>283</v>
      </c>
      <c r="I659" s="36" t="s">
        <v>134</v>
      </c>
      <c r="J659" s="53" t="n">
        <f aca="false">J663</f>
        <v>39.51</v>
      </c>
    </row>
    <row r="660" customFormat="false" ht="15" hidden="false" customHeight="false" outlineLevel="0" collapsed="false">
      <c r="A660" s="14" t="s">
        <v>284</v>
      </c>
      <c r="B660" s="14" t="s">
        <v>285</v>
      </c>
      <c r="F660" s="36" t="s">
        <v>123</v>
      </c>
      <c r="G660" s="36" t="s">
        <v>286</v>
      </c>
      <c r="H660" s="36" t="s">
        <v>287</v>
      </c>
      <c r="I660" s="36" t="s">
        <v>288</v>
      </c>
      <c r="J660" s="36" t="s">
        <v>289</v>
      </c>
    </row>
    <row r="661" customFormat="false" ht="15" hidden="false" customHeight="false" outlineLevel="0" collapsed="false">
      <c r="B661" s="54" t="s">
        <v>295</v>
      </c>
    </row>
    <row r="662" customFormat="false" ht="15" hidden="false" customHeight="false" outlineLevel="0" collapsed="false">
      <c r="B662" s="1" t="s">
        <v>967</v>
      </c>
      <c r="F662" s="55" t="s">
        <v>134</v>
      </c>
      <c r="G662" s="56"/>
      <c r="H662" s="57" t="n">
        <v>1</v>
      </c>
      <c r="I662" s="1" t="n">
        <v>39.51</v>
      </c>
      <c r="J662" s="28" t="n">
        <f aca="false">H662*I662</f>
        <v>39.51</v>
      </c>
    </row>
    <row r="663" customFormat="false" ht="15" hidden="false" customHeight="false" outlineLevel="0" collapsed="false">
      <c r="A663" s="60"/>
      <c r="B663" s="60"/>
      <c r="C663" s="60"/>
      <c r="D663" s="60"/>
      <c r="E663" s="60"/>
      <c r="F663" s="60"/>
      <c r="G663" s="60"/>
      <c r="H663" s="60"/>
      <c r="I663" s="60"/>
      <c r="J663" s="61" t="n">
        <f aca="false">SUM(J662)</f>
        <v>39.51</v>
      </c>
    </row>
    <row r="665" customFormat="false" ht="15" hidden="false" customHeight="false" outlineLevel="0" collapsed="false">
      <c r="A665" s="14" t="s">
        <v>278</v>
      </c>
      <c r="B665" s="82" t="str">
        <f aca="false">ARQUITECTURA!A61</f>
        <v>03.07.07.04</v>
      </c>
      <c r="C665" s="14" t="s">
        <v>968</v>
      </c>
      <c r="D665" s="14"/>
      <c r="E665" s="14"/>
      <c r="F665" s="14"/>
      <c r="G665" s="14"/>
      <c r="H665" s="14"/>
      <c r="I665" s="14"/>
    </row>
    <row r="666" customFormat="false" ht="15" hidden="false" customHeight="false" outlineLevel="0" collapsed="false">
      <c r="A666" s="14" t="s">
        <v>279</v>
      </c>
      <c r="B666" s="14" t="s">
        <v>280</v>
      </c>
      <c r="C666" s="36" t="s">
        <v>281</v>
      </c>
      <c r="D666" s="52" t="n">
        <v>1</v>
      </c>
      <c r="E666" s="36" t="s">
        <v>282</v>
      </c>
      <c r="F666" s="52" t="n">
        <f aca="false">D666</f>
        <v>1</v>
      </c>
      <c r="G666" s="14" t="s">
        <v>283</v>
      </c>
      <c r="I666" s="36" t="s">
        <v>134</v>
      </c>
      <c r="J666" s="53" t="n">
        <f aca="false">J670</f>
        <v>17.38</v>
      </c>
    </row>
    <row r="667" customFormat="false" ht="15" hidden="false" customHeight="false" outlineLevel="0" collapsed="false">
      <c r="A667" s="14" t="s">
        <v>284</v>
      </c>
      <c r="B667" s="14" t="s">
        <v>285</v>
      </c>
      <c r="F667" s="36" t="s">
        <v>123</v>
      </c>
      <c r="G667" s="36" t="s">
        <v>286</v>
      </c>
      <c r="H667" s="36" t="s">
        <v>287</v>
      </c>
      <c r="I667" s="36" t="s">
        <v>288</v>
      </c>
      <c r="J667" s="36" t="s">
        <v>289</v>
      </c>
    </row>
    <row r="668" customFormat="false" ht="15" hidden="false" customHeight="false" outlineLevel="0" collapsed="false">
      <c r="B668" s="54" t="s">
        <v>295</v>
      </c>
    </row>
    <row r="669" customFormat="false" ht="15" hidden="false" customHeight="false" outlineLevel="0" collapsed="false">
      <c r="B669" s="1" t="s">
        <v>968</v>
      </c>
      <c r="F669" s="55" t="s">
        <v>134</v>
      </c>
      <c r="G669" s="56"/>
      <c r="H669" s="57" t="n">
        <v>1</v>
      </c>
      <c r="I669" s="1" t="n">
        <v>17.38</v>
      </c>
      <c r="J669" s="28" t="n">
        <f aca="false">H669*I669</f>
        <v>17.38</v>
      </c>
    </row>
    <row r="670" customFormat="false" ht="15" hidden="false" customHeight="false" outlineLevel="0" collapsed="false">
      <c r="A670" s="60"/>
      <c r="B670" s="60"/>
      <c r="C670" s="60"/>
      <c r="D670" s="60"/>
      <c r="E670" s="60"/>
      <c r="F670" s="60"/>
      <c r="G670" s="60"/>
      <c r="H670" s="60"/>
      <c r="I670" s="60"/>
      <c r="J670" s="61" t="n">
        <f aca="false">SUM(J669)</f>
        <v>17.38</v>
      </c>
    </row>
    <row r="672" customFormat="false" ht="15" hidden="false" customHeight="false" outlineLevel="0" collapsed="false">
      <c r="A672" s="14" t="s">
        <v>278</v>
      </c>
      <c r="B672" s="82" t="str">
        <f aca="false">ARQUITECTURA!A63</f>
        <v>03.07.08.01</v>
      </c>
      <c r="C672" s="14" t="s">
        <v>79</v>
      </c>
      <c r="D672" s="14"/>
      <c r="E672" s="14"/>
      <c r="F672" s="14"/>
      <c r="G672" s="14"/>
      <c r="H672" s="14"/>
      <c r="I672" s="14"/>
    </row>
    <row r="673" customFormat="false" ht="15" hidden="false" customHeight="false" outlineLevel="0" collapsed="false">
      <c r="A673" s="14" t="s">
        <v>279</v>
      </c>
      <c r="B673" s="14" t="s">
        <v>326</v>
      </c>
      <c r="C673" s="36" t="s">
        <v>281</v>
      </c>
      <c r="D673" s="52" t="n">
        <v>1</v>
      </c>
      <c r="E673" s="36" t="s">
        <v>282</v>
      </c>
      <c r="F673" s="52" t="n">
        <f aca="false">D673</f>
        <v>1</v>
      </c>
      <c r="G673" s="14" t="s">
        <v>283</v>
      </c>
      <c r="I673" s="36" t="s">
        <v>150</v>
      </c>
      <c r="J673" s="53" t="n">
        <f aca="false">J680+J699+J702</f>
        <v>2147.20033126552</v>
      </c>
    </row>
    <row r="674" customFormat="false" ht="15" hidden="false" customHeight="false" outlineLevel="0" collapsed="false">
      <c r="A674" s="14" t="s">
        <v>284</v>
      </c>
      <c r="B674" s="14" t="s">
        <v>285</v>
      </c>
      <c r="F674" s="36" t="s">
        <v>123</v>
      </c>
      <c r="G674" s="36" t="s">
        <v>286</v>
      </c>
      <c r="H674" s="36" t="s">
        <v>287</v>
      </c>
      <c r="I674" s="36" t="s">
        <v>288</v>
      </c>
      <c r="J674" s="36" t="s">
        <v>289</v>
      </c>
    </row>
    <row r="675" customFormat="false" ht="15" hidden="false" customHeight="false" outlineLevel="0" collapsed="false">
      <c r="B675" s="54" t="s">
        <v>290</v>
      </c>
    </row>
    <row r="676" customFormat="false" ht="15" hidden="false" customHeight="false" outlineLevel="0" collapsed="false">
      <c r="B676" s="1" t="s">
        <v>651</v>
      </c>
      <c r="F676" s="55" t="s">
        <v>292</v>
      </c>
      <c r="G676" s="56" t="n">
        <v>0.1</v>
      </c>
      <c r="H676" s="57" t="n">
        <f aca="false">G676*8/$D$673</f>
        <v>0.8</v>
      </c>
      <c r="I676" s="28" t="n">
        <v>34.73</v>
      </c>
      <c r="J676" s="28" t="n">
        <f aca="false">H676*I676</f>
        <v>27.784</v>
      </c>
    </row>
    <row r="677" customFormat="false" ht="15" hidden="false" customHeight="false" outlineLevel="0" collapsed="false">
      <c r="B677" s="1" t="s">
        <v>291</v>
      </c>
      <c r="F677" s="55" t="s">
        <v>292</v>
      </c>
      <c r="G677" s="56" t="n">
        <v>1</v>
      </c>
      <c r="H677" s="57" t="n">
        <f aca="false">G677*8/$D$673</f>
        <v>8</v>
      </c>
      <c r="I677" s="28" t="n">
        <v>28.94</v>
      </c>
      <c r="J677" s="28" t="n">
        <f aca="false">H677*I677</f>
        <v>231.52</v>
      </c>
    </row>
    <row r="678" customFormat="false" ht="15" hidden="false" customHeight="false" outlineLevel="0" collapsed="false">
      <c r="B678" s="1" t="s">
        <v>680</v>
      </c>
      <c r="F678" s="55" t="s">
        <v>292</v>
      </c>
      <c r="G678" s="56" t="n">
        <v>1</v>
      </c>
      <c r="H678" s="57" t="n">
        <f aca="false">G678*8/$D$673</f>
        <v>8</v>
      </c>
      <c r="I678" s="1" t="n">
        <v>22.66</v>
      </c>
      <c r="J678" s="28" t="n">
        <f aca="false">H678*I678</f>
        <v>181.28</v>
      </c>
    </row>
    <row r="679" customFormat="false" ht="15" hidden="false" customHeight="false" outlineLevel="0" collapsed="false">
      <c r="B679" s="1" t="s">
        <v>294</v>
      </c>
      <c r="F679" s="55" t="s">
        <v>292</v>
      </c>
      <c r="G679" s="56" t="n">
        <v>2</v>
      </c>
      <c r="H679" s="57" t="n">
        <f aca="false">G679*8/$D$673</f>
        <v>16</v>
      </c>
      <c r="I679" s="28" t="n">
        <v>20.51</v>
      </c>
      <c r="J679" s="28" t="n">
        <f aca="false">H679*I679</f>
        <v>328.16</v>
      </c>
    </row>
    <row r="680" customFormat="false" ht="15" hidden="false" customHeight="false" outlineLevel="0" collapsed="false">
      <c r="J680" s="53" t="n">
        <f aca="false">SUM(J676:J679)</f>
        <v>768.744</v>
      </c>
    </row>
    <row r="681" customFormat="false" ht="15" hidden="false" customHeight="false" outlineLevel="0" collapsed="false">
      <c r="B681" s="54" t="s">
        <v>295</v>
      </c>
      <c r="F681" s="55"/>
    </row>
    <row r="682" customFormat="false" ht="15" hidden="false" customHeight="false" outlineLevel="0" collapsed="false">
      <c r="B682" s="119" t="s">
        <v>296</v>
      </c>
      <c r="F682" s="55" t="s">
        <v>297</v>
      </c>
      <c r="H682" s="57" t="n">
        <v>0.5</v>
      </c>
      <c r="I682" s="1" t="n">
        <v>2.64</v>
      </c>
      <c r="J682" s="28" t="n">
        <f aca="false">H682*I682</f>
        <v>1.32</v>
      </c>
    </row>
    <row r="683" customFormat="false" ht="15" hidden="false" customHeight="false" outlineLevel="0" collapsed="false">
      <c r="B683" s="119" t="s">
        <v>727</v>
      </c>
      <c r="F683" s="55" t="s">
        <v>297</v>
      </c>
      <c r="H683" s="57" t="n">
        <v>0.592</v>
      </c>
      <c r="I683" s="1" t="n">
        <v>4.16</v>
      </c>
      <c r="J683" s="28" t="n">
        <f aca="false">H683*I683</f>
        <v>2.46272</v>
      </c>
    </row>
    <row r="684" customFormat="false" ht="15" hidden="false" customHeight="false" outlineLevel="0" collapsed="false">
      <c r="B684" s="119" t="s">
        <v>969</v>
      </c>
      <c r="F684" s="55" t="s">
        <v>134</v>
      </c>
      <c r="H684" s="57" t="n">
        <v>0.03</v>
      </c>
      <c r="I684" s="1" t="n">
        <v>83.22</v>
      </c>
      <c r="J684" s="28" t="n">
        <f aca="false">H684*I684</f>
        <v>2.4966</v>
      </c>
    </row>
    <row r="685" customFormat="false" ht="15" hidden="false" customHeight="false" outlineLevel="0" collapsed="false">
      <c r="B685" s="117" t="s">
        <v>896</v>
      </c>
      <c r="F685" s="55" t="s">
        <v>204</v>
      </c>
      <c r="H685" s="57" t="n">
        <v>0.138</v>
      </c>
      <c r="I685" s="1" t="n">
        <v>50.85</v>
      </c>
      <c r="J685" s="28" t="n">
        <f aca="false">H685*I685</f>
        <v>7.0173</v>
      </c>
    </row>
    <row r="686" customFormat="false" ht="15" hidden="false" customHeight="false" outlineLevel="0" collapsed="false">
      <c r="B686" s="119" t="s">
        <v>701</v>
      </c>
      <c r="F686" s="55" t="s">
        <v>204</v>
      </c>
      <c r="H686" s="57" t="n">
        <v>0.255</v>
      </c>
      <c r="I686" s="28" t="n">
        <v>47</v>
      </c>
      <c r="J686" s="28" t="n">
        <f aca="false">H686*I686</f>
        <v>11.985</v>
      </c>
    </row>
    <row r="687" customFormat="false" ht="15" hidden="false" customHeight="false" outlineLevel="0" collapsed="false">
      <c r="B687" s="119" t="s">
        <v>722</v>
      </c>
      <c r="F687" s="55" t="s">
        <v>432</v>
      </c>
      <c r="H687" s="57" t="n">
        <v>4.326</v>
      </c>
      <c r="I687" s="1" t="n">
        <v>24.52</v>
      </c>
      <c r="J687" s="28" t="n">
        <f aca="false">H687*I687</f>
        <v>106.07352</v>
      </c>
    </row>
    <row r="688" customFormat="false" ht="15" hidden="false" customHeight="false" outlineLevel="0" collapsed="false">
      <c r="B688" s="119" t="s">
        <v>309</v>
      </c>
      <c r="F688" s="55" t="s">
        <v>306</v>
      </c>
      <c r="G688" s="56"/>
      <c r="H688" s="57" t="n">
        <v>12.116</v>
      </c>
      <c r="I688" s="28" t="n">
        <v>8.8</v>
      </c>
      <c r="J688" s="28" t="n">
        <f aca="false">H688*I688</f>
        <v>106.6208</v>
      </c>
    </row>
    <row r="689" customFormat="false" ht="15" hidden="false" customHeight="false" outlineLevel="0" collapsed="false">
      <c r="B689" s="119" t="s">
        <v>970</v>
      </c>
      <c r="F689" s="55" t="s">
        <v>440</v>
      </c>
      <c r="G689" s="56"/>
      <c r="H689" s="57" t="n">
        <v>0.057</v>
      </c>
      <c r="I689" s="28" t="n">
        <v>38.98</v>
      </c>
      <c r="J689" s="28" t="n">
        <f aca="false">H689*I689</f>
        <v>2.22186</v>
      </c>
    </row>
    <row r="690" customFormat="false" ht="15" hidden="false" customHeight="false" outlineLevel="0" collapsed="false">
      <c r="B690" s="119" t="s">
        <v>971</v>
      </c>
      <c r="F690" s="55" t="s">
        <v>440</v>
      </c>
      <c r="G690" s="56"/>
      <c r="H690" s="57" t="n">
        <v>0.1</v>
      </c>
      <c r="I690" s="28" t="n">
        <v>94</v>
      </c>
      <c r="J690" s="28" t="n">
        <f aca="false">H690*I690</f>
        <v>9.4</v>
      </c>
    </row>
    <row r="691" customFormat="false" ht="15" hidden="false" customHeight="false" outlineLevel="0" collapsed="false">
      <c r="B691" s="119" t="s">
        <v>972</v>
      </c>
      <c r="F691" s="55" t="s">
        <v>145</v>
      </c>
      <c r="G691" s="56"/>
      <c r="H691" s="57" t="n">
        <v>2.7</v>
      </c>
      <c r="I691" s="28" t="n">
        <v>52.704</v>
      </c>
      <c r="J691" s="28" t="n">
        <f aca="false">H691*I691</f>
        <v>142.3008</v>
      </c>
    </row>
    <row r="692" customFormat="false" ht="15" hidden="false" customHeight="false" outlineLevel="0" collapsed="false">
      <c r="B692" s="119" t="s">
        <v>973</v>
      </c>
      <c r="F692" s="55" t="s">
        <v>145</v>
      </c>
      <c r="H692" s="57" t="n">
        <v>2.7</v>
      </c>
      <c r="I692" s="28" t="n">
        <v>101.4918</v>
      </c>
      <c r="J692" s="28" t="n">
        <f aca="false">H692*I692</f>
        <v>274.02786</v>
      </c>
    </row>
    <row r="693" customFormat="false" ht="15" hidden="false" customHeight="false" outlineLevel="0" collapsed="false">
      <c r="B693" s="119" t="s">
        <v>974</v>
      </c>
      <c r="F693" s="55" t="s">
        <v>145</v>
      </c>
      <c r="H693" s="57" t="n">
        <v>3.3</v>
      </c>
      <c r="I693" s="28" t="n">
        <v>123.0126</v>
      </c>
      <c r="J693" s="28" t="n">
        <f aca="false">H693*I693</f>
        <v>405.94158</v>
      </c>
    </row>
    <row r="694" customFormat="false" ht="15" hidden="false" customHeight="false" outlineLevel="0" collapsed="false">
      <c r="B694" s="119" t="s">
        <v>975</v>
      </c>
      <c r="F694" s="55" t="s">
        <v>145</v>
      </c>
      <c r="H694" s="57" t="n">
        <v>18</v>
      </c>
      <c r="I694" s="28" t="n">
        <v>14.8154476148987</v>
      </c>
      <c r="J694" s="28" t="n">
        <f aca="false">H694*I694</f>
        <v>266.678057068177</v>
      </c>
    </row>
    <row r="695" customFormat="false" ht="15" hidden="false" customHeight="false" outlineLevel="0" collapsed="false">
      <c r="B695" s="119" t="s">
        <v>976</v>
      </c>
      <c r="F695" s="55" t="s">
        <v>150</v>
      </c>
      <c r="H695" s="57" t="n">
        <v>6</v>
      </c>
      <c r="I695" s="28" t="n">
        <v>0.67</v>
      </c>
      <c r="J695" s="28" t="n">
        <f aca="false">H695*I695</f>
        <v>4.02</v>
      </c>
    </row>
    <row r="696" customFormat="false" ht="15" hidden="false" customHeight="false" outlineLevel="0" collapsed="false">
      <c r="B696" s="119" t="s">
        <v>977</v>
      </c>
      <c r="F696" s="55" t="s">
        <v>150</v>
      </c>
      <c r="H696" s="57" t="n">
        <v>6</v>
      </c>
      <c r="I696" s="28" t="n">
        <v>0.628839032890438</v>
      </c>
      <c r="J696" s="28" t="n">
        <f aca="false">H696*I696</f>
        <v>3.77303419734263</v>
      </c>
    </row>
    <row r="697" customFormat="false" ht="15" hidden="false" customHeight="false" outlineLevel="0" collapsed="false">
      <c r="B697" s="119" t="s">
        <v>978</v>
      </c>
      <c r="F697" s="55" t="s">
        <v>297</v>
      </c>
      <c r="H697" s="57" t="n">
        <v>0.1</v>
      </c>
      <c r="I697" s="28" t="n">
        <v>84.9</v>
      </c>
      <c r="J697" s="28" t="n">
        <f aca="false">H697*I697</f>
        <v>8.49</v>
      </c>
    </row>
    <row r="698" customFormat="false" ht="15" hidden="false" customHeight="false" outlineLevel="0" collapsed="false">
      <c r="B698" s="119" t="s">
        <v>665</v>
      </c>
      <c r="F698" s="55" t="s">
        <v>204</v>
      </c>
      <c r="H698" s="57" t="n">
        <v>0.092</v>
      </c>
      <c r="I698" s="28" t="n">
        <v>6.14</v>
      </c>
      <c r="J698" s="28" t="n">
        <f aca="false">H698*I698</f>
        <v>0.56488</v>
      </c>
    </row>
    <row r="699" customFormat="false" ht="15" hidden="false" customHeight="false" outlineLevel="0" collapsed="false">
      <c r="J699" s="53" t="n">
        <f aca="false">SUM(J682:J698)</f>
        <v>1355.39401126552</v>
      </c>
    </row>
    <row r="700" customFormat="false" ht="15" hidden="false" customHeight="false" outlineLevel="0" collapsed="false">
      <c r="B700" s="54" t="s">
        <v>318</v>
      </c>
    </row>
    <row r="701" customFormat="false" ht="15" hidden="false" customHeight="false" outlineLevel="0" collapsed="false">
      <c r="B701" s="1" t="s">
        <v>311</v>
      </c>
      <c r="F701" s="55" t="s">
        <v>312</v>
      </c>
      <c r="H701" s="57" t="n">
        <v>3</v>
      </c>
      <c r="I701" s="28" t="n">
        <f aca="false">J680</f>
        <v>768.744</v>
      </c>
      <c r="J701" s="28" t="n">
        <f aca="false">H701%*I701</f>
        <v>23.06232</v>
      </c>
    </row>
    <row r="702" customFormat="false" ht="15" hidden="false" customHeight="false" outlineLevel="0" collapsed="false">
      <c r="A702" s="60"/>
      <c r="B702" s="60"/>
      <c r="C702" s="60"/>
      <c r="D702" s="60"/>
      <c r="E702" s="60"/>
      <c r="F702" s="60"/>
      <c r="G702" s="60"/>
      <c r="H702" s="60"/>
      <c r="I702" s="60"/>
      <c r="J702" s="61" t="n">
        <f aca="false">SUM(J701)</f>
        <v>23.06232</v>
      </c>
    </row>
    <row r="704" customFormat="false" ht="15" hidden="false" customHeight="false" outlineLevel="0" collapsed="false">
      <c r="A704" s="14" t="s">
        <v>278</v>
      </c>
      <c r="B704" s="82" t="str">
        <f aca="false">ARQUITECTURA!A65</f>
        <v>03.07.09.01</v>
      </c>
      <c r="C704" s="14" t="s">
        <v>861</v>
      </c>
      <c r="D704" s="14"/>
      <c r="E704" s="14"/>
      <c r="F704" s="14"/>
      <c r="G704" s="14"/>
      <c r="H704" s="14"/>
      <c r="I704" s="14"/>
    </row>
    <row r="705" customFormat="false" ht="15" hidden="false" customHeight="false" outlineLevel="0" collapsed="false">
      <c r="A705" s="14" t="s">
        <v>279</v>
      </c>
      <c r="B705" s="14" t="s">
        <v>280</v>
      </c>
      <c r="C705" s="36" t="s">
        <v>281</v>
      </c>
      <c r="D705" s="52" t="n">
        <v>1</v>
      </c>
      <c r="E705" s="36" t="s">
        <v>282</v>
      </c>
      <c r="F705" s="52" t="n">
        <f aca="false">D705</f>
        <v>1</v>
      </c>
      <c r="G705" s="14" t="s">
        <v>283</v>
      </c>
      <c r="I705" s="36" t="s">
        <v>134</v>
      </c>
      <c r="J705" s="53" t="n">
        <f aca="false">J709</f>
        <v>169.49</v>
      </c>
      <c r="N705" s="82"/>
    </row>
    <row r="706" customFormat="false" ht="15" hidden="false" customHeight="false" outlineLevel="0" collapsed="false">
      <c r="A706" s="14" t="s">
        <v>284</v>
      </c>
      <c r="B706" s="14" t="s">
        <v>285</v>
      </c>
      <c r="F706" s="36" t="s">
        <v>123</v>
      </c>
      <c r="G706" s="36" t="s">
        <v>286</v>
      </c>
      <c r="H706" s="36" t="s">
        <v>287</v>
      </c>
      <c r="I706" s="36" t="s">
        <v>288</v>
      </c>
      <c r="J706" s="36" t="s">
        <v>289</v>
      </c>
      <c r="N706" s="82"/>
    </row>
    <row r="707" customFormat="false" ht="15" hidden="false" customHeight="false" outlineLevel="0" collapsed="false">
      <c r="B707" s="54" t="s">
        <v>295</v>
      </c>
      <c r="M707" s="82"/>
      <c r="N707" s="82"/>
    </row>
    <row r="708" customFormat="false" ht="15" hidden="false" customHeight="false" outlineLevel="0" collapsed="false">
      <c r="B708" s="1" t="s">
        <v>861</v>
      </c>
      <c r="F708" s="55" t="s">
        <v>134</v>
      </c>
      <c r="G708" s="56"/>
      <c r="H708" s="57" t="n">
        <v>1</v>
      </c>
      <c r="I708" s="28" t="n">
        <v>169.49</v>
      </c>
      <c r="J708" s="28" t="n">
        <f aca="false">H708*I708</f>
        <v>169.49</v>
      </c>
      <c r="N708" s="82"/>
    </row>
    <row r="709" customFormat="false" ht="15" hidden="false" customHeight="false" outlineLevel="0" collapsed="false">
      <c r="A709" s="60"/>
      <c r="B709" s="60"/>
      <c r="C709" s="60"/>
      <c r="D709" s="60"/>
      <c r="E709" s="60"/>
      <c r="F709" s="60"/>
      <c r="G709" s="60"/>
      <c r="H709" s="60"/>
      <c r="I709" s="60"/>
      <c r="J709" s="61" t="n">
        <f aca="false">SUM(J708)</f>
        <v>169.49</v>
      </c>
      <c r="N709" s="82"/>
    </row>
    <row r="710" customFormat="false" ht="15" hidden="false" customHeight="false" outlineLevel="0" collapsed="false">
      <c r="M710" s="82"/>
      <c r="N710" s="82"/>
    </row>
    <row r="711" customFormat="false" ht="15" hidden="false" customHeight="false" outlineLevel="0" collapsed="false">
      <c r="A711" s="14" t="s">
        <v>278</v>
      </c>
      <c r="B711" s="82" t="str">
        <f aca="false">ARQUITECTURA!A66</f>
        <v>03.07.09.02</v>
      </c>
      <c r="C711" s="14" t="s">
        <v>979</v>
      </c>
      <c r="D711" s="14"/>
      <c r="E711" s="14"/>
      <c r="F711" s="14"/>
      <c r="G711" s="14"/>
      <c r="H711" s="14"/>
      <c r="I711" s="14"/>
      <c r="N711" s="82"/>
    </row>
    <row r="712" customFormat="false" ht="15" hidden="false" customHeight="false" outlineLevel="0" collapsed="false">
      <c r="A712" s="14" t="s">
        <v>279</v>
      </c>
      <c r="B712" s="14" t="s">
        <v>280</v>
      </c>
      <c r="C712" s="36" t="s">
        <v>281</v>
      </c>
      <c r="D712" s="52" t="n">
        <v>1</v>
      </c>
      <c r="E712" s="36" t="s">
        <v>282</v>
      </c>
      <c r="F712" s="52" t="n">
        <f aca="false">D712</f>
        <v>1</v>
      </c>
      <c r="G712" s="14" t="s">
        <v>283</v>
      </c>
      <c r="I712" s="36" t="s">
        <v>134</v>
      </c>
      <c r="J712" s="53" t="n">
        <f aca="false">J716</f>
        <v>169.49</v>
      </c>
      <c r="N712" s="82"/>
    </row>
    <row r="713" customFormat="false" ht="15" hidden="false" customHeight="false" outlineLevel="0" collapsed="false">
      <c r="A713" s="14" t="s">
        <v>284</v>
      </c>
      <c r="B713" s="14" t="s">
        <v>285</v>
      </c>
      <c r="F713" s="36" t="s">
        <v>123</v>
      </c>
      <c r="G713" s="36" t="s">
        <v>286</v>
      </c>
      <c r="H713" s="36" t="s">
        <v>287</v>
      </c>
      <c r="I713" s="36" t="s">
        <v>288</v>
      </c>
      <c r="J713" s="36" t="s">
        <v>289</v>
      </c>
      <c r="M713" s="82"/>
      <c r="N713" s="82"/>
    </row>
    <row r="714" customFormat="false" ht="15" hidden="false" customHeight="false" outlineLevel="0" collapsed="false">
      <c r="B714" s="54" t="s">
        <v>295</v>
      </c>
    </row>
    <row r="715" customFormat="false" ht="15" hidden="false" customHeight="false" outlineLevel="0" collapsed="false">
      <c r="B715" s="1" t="s">
        <v>979</v>
      </c>
      <c r="F715" s="55" t="s">
        <v>134</v>
      </c>
      <c r="G715" s="56"/>
      <c r="H715" s="57" t="n">
        <v>1</v>
      </c>
      <c r="I715" s="28" t="n">
        <v>169.49</v>
      </c>
      <c r="J715" s="28" t="n">
        <f aca="false">H715*I715</f>
        <v>169.49</v>
      </c>
    </row>
    <row r="716" customFormat="false" ht="15" hidden="false" customHeight="false" outlineLevel="0" collapsed="false">
      <c r="A716" s="60"/>
      <c r="B716" s="60"/>
      <c r="C716" s="60"/>
      <c r="D716" s="60"/>
      <c r="E716" s="60"/>
      <c r="F716" s="60"/>
      <c r="G716" s="60"/>
      <c r="H716" s="60"/>
      <c r="I716" s="60"/>
      <c r="J716" s="61" t="n">
        <f aca="false">SUM(J715)</f>
        <v>169.49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P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6" activeCellId="0" sqref="B26"/>
    </sheetView>
  </sheetViews>
  <sheetFormatPr defaultColWidth="8.59765625" defaultRowHeight="15" zeroHeight="false" outlineLevelRow="0" outlineLevelCol="0"/>
  <cols>
    <col collapsed="false" customWidth="true" hidden="false" outlineLevel="0" max="8" min="8" style="1" width="14"/>
    <col collapsed="false" customWidth="true" hidden="false" outlineLevel="0" max="9" min="9" style="1" width="12.43"/>
    <col collapsed="false" customWidth="true" hidden="false" outlineLevel="0" max="10" min="10" style="1" width="10.43"/>
    <col collapsed="false" customWidth="true" hidden="false" outlineLevel="0" max="11" min="11" style="1" width="14.29"/>
    <col collapsed="false" customWidth="true" hidden="false" outlineLevel="0" max="15" min="15" style="1" width="21.3"/>
  </cols>
  <sheetData>
    <row r="1" customFormat="false" ht="15" hidden="false" customHeight="false" outlineLevel="0" collapsed="false">
      <c r="G1" s="36" t="s">
        <v>123</v>
      </c>
      <c r="H1" s="36" t="s">
        <v>124</v>
      </c>
      <c r="I1" s="36" t="s">
        <v>125</v>
      </c>
      <c r="J1" s="36" t="s">
        <v>454</v>
      </c>
      <c r="K1" s="36" t="s">
        <v>455</v>
      </c>
    </row>
    <row r="2" customFormat="false" ht="15" hidden="false" customHeight="false" outlineLevel="0" collapsed="false">
      <c r="A2" s="14" t="n">
        <v>4</v>
      </c>
      <c r="B2" s="66" t="s">
        <v>980</v>
      </c>
      <c r="J2" s="6"/>
      <c r="K2" s="67" t="n">
        <f aca="false">J3+J8+J11+J13+J15+J17+J20+J22+J25</f>
        <v>717465.948140784</v>
      </c>
      <c r="O2" s="14"/>
      <c r="P2" s="14"/>
    </row>
    <row r="3" customFormat="false" ht="15" hidden="false" customHeight="false" outlineLevel="0" collapsed="false">
      <c r="A3" s="14" t="n">
        <v>4.01</v>
      </c>
      <c r="B3" s="68" t="s">
        <v>981</v>
      </c>
      <c r="J3" s="40" t="n">
        <f aca="false">SUM(J4:J7)</f>
        <v>105333.658333333</v>
      </c>
      <c r="K3" s="9"/>
      <c r="P3" s="14"/>
    </row>
    <row r="4" customFormat="false" ht="15" hidden="false" customHeight="false" outlineLevel="0" collapsed="false">
      <c r="A4" s="1" t="s">
        <v>982</v>
      </c>
      <c r="B4" s="1" t="s">
        <v>983</v>
      </c>
      <c r="G4" s="6" t="s">
        <v>150</v>
      </c>
      <c r="H4" s="28" t="n">
        <f aca="false">ROUNDUP(SUM(BIBLIOTECA:INGRESO!G44:G44),0)</f>
        <v>182</v>
      </c>
      <c r="I4" s="46" t="n">
        <f aca="false">'APUS SANITARIAS'!J5</f>
        <v>193.333333333333</v>
      </c>
      <c r="J4" s="28" t="n">
        <f aca="false">H4*I4</f>
        <v>35186.6666666667</v>
      </c>
      <c r="P4" s="14"/>
    </row>
    <row r="5" customFormat="false" ht="15" hidden="false" customHeight="false" outlineLevel="0" collapsed="false">
      <c r="A5" s="1" t="s">
        <v>984</v>
      </c>
      <c r="B5" s="1" t="s">
        <v>985</v>
      </c>
      <c r="G5" s="6" t="s">
        <v>150</v>
      </c>
      <c r="H5" s="28" t="n">
        <f aca="false">ROUNDUP(SUM(BIBLIOTECA:INGRESO!G45:G45),0)</f>
        <v>182</v>
      </c>
      <c r="I5" s="28" t="n">
        <f aca="false">'APUS SANITARIAS'!J12</f>
        <v>192.42</v>
      </c>
      <c r="J5" s="28" t="n">
        <f aca="false">H5*I5</f>
        <v>35020.44</v>
      </c>
    </row>
    <row r="6" customFormat="false" ht="15" hidden="false" customHeight="false" outlineLevel="0" collapsed="false">
      <c r="A6" s="1" t="s">
        <v>986</v>
      </c>
      <c r="B6" s="1" t="s">
        <v>987</v>
      </c>
      <c r="G6" s="6" t="s">
        <v>150</v>
      </c>
      <c r="H6" s="28" t="n">
        <f aca="false">ROUNDUP(SUM(BIBLIOTECA:INGRESO!G46:G46),0)</f>
        <v>187</v>
      </c>
      <c r="I6" s="28" t="n">
        <f aca="false">'APUS SANITARIAS'!J19</f>
        <v>67.5216666666667</v>
      </c>
      <c r="J6" s="28" t="n">
        <f aca="false">H6*I6</f>
        <v>12626.5516666667</v>
      </c>
    </row>
    <row r="7" customFormat="false" ht="15" hidden="false" customHeight="false" outlineLevel="0" collapsed="false">
      <c r="A7" s="1" t="s">
        <v>988</v>
      </c>
      <c r="B7" s="1" t="s">
        <v>989</v>
      </c>
      <c r="G7" s="6" t="s">
        <v>150</v>
      </c>
      <c r="H7" s="28" t="n">
        <f aca="false">ROUNDUP(SUM(BIBLIOTECA:INGRESO!G47:G47),0)</f>
        <v>30</v>
      </c>
      <c r="I7" s="46" t="n">
        <f aca="false">'APUS SANITARIAS'!J26</f>
        <v>750</v>
      </c>
      <c r="J7" s="28" t="n">
        <f aca="false">H7*I7</f>
        <v>22500</v>
      </c>
    </row>
    <row r="8" customFormat="false" ht="15" hidden="false" customHeight="false" outlineLevel="0" collapsed="false">
      <c r="A8" s="14" t="n">
        <v>4.02</v>
      </c>
      <c r="B8" s="68" t="s">
        <v>990</v>
      </c>
      <c r="G8" s="6"/>
      <c r="H8" s="28"/>
      <c r="I8" s="28"/>
      <c r="J8" s="134" t="n">
        <f aca="false">SUM(J9:J10)</f>
        <v>43277.3805333333</v>
      </c>
    </row>
    <row r="9" customFormat="false" ht="15" hidden="false" customHeight="false" outlineLevel="0" collapsed="false">
      <c r="A9" s="1" t="s">
        <v>991</v>
      </c>
      <c r="B9" s="1" t="s">
        <v>992</v>
      </c>
      <c r="G9" s="6" t="s">
        <v>215</v>
      </c>
      <c r="H9" s="28" t="n">
        <f aca="false">ROUNDUP(SUM(BIBLIOTECA:INGRESO!G48:G48),0)</f>
        <v>223</v>
      </c>
      <c r="I9" s="28" t="n">
        <f aca="false">'APUS SANITARIAS'!J32</f>
        <v>131.737813333333</v>
      </c>
      <c r="J9" s="28" t="n">
        <f aca="false">H9*I9</f>
        <v>29377.5323733333</v>
      </c>
      <c r="P9" s="14"/>
    </row>
    <row r="10" customFormat="false" ht="15" hidden="false" customHeight="false" outlineLevel="0" collapsed="false">
      <c r="A10" s="1" t="s">
        <v>993</v>
      </c>
      <c r="B10" s="1" t="s">
        <v>994</v>
      </c>
      <c r="G10" s="6" t="s">
        <v>215</v>
      </c>
      <c r="H10" s="28" t="n">
        <f aca="false">ROUNDUP(SUM(BIBLIOTECA:INGRESO!G49:G49),0)</f>
        <v>66</v>
      </c>
      <c r="I10" s="28" t="n">
        <f aca="false">'APUS SANITARIAS'!J50</f>
        <v>210.60376</v>
      </c>
      <c r="J10" s="28" t="n">
        <f aca="false">H10*I10</f>
        <v>13899.84816</v>
      </c>
    </row>
    <row r="11" customFormat="false" ht="15" hidden="false" customHeight="false" outlineLevel="0" collapsed="false">
      <c r="A11" s="14" t="n">
        <v>4.03</v>
      </c>
      <c r="B11" s="68" t="s">
        <v>995</v>
      </c>
      <c r="G11" s="6"/>
      <c r="H11" s="28"/>
      <c r="I11" s="28"/>
      <c r="J11" s="134" t="n">
        <f aca="false">SUM(J12)</f>
        <v>46800</v>
      </c>
    </row>
    <row r="12" customFormat="false" ht="15" hidden="false" customHeight="false" outlineLevel="0" collapsed="false">
      <c r="A12" s="1" t="s">
        <v>996</v>
      </c>
      <c r="B12" s="1" t="s">
        <v>997</v>
      </c>
      <c r="G12" s="6" t="s">
        <v>150</v>
      </c>
      <c r="H12" s="28" t="n">
        <f aca="false">ROUNDUP(SUM(BIBLIOTECA:INGRESO!G50:G50),0)</f>
        <v>234</v>
      </c>
      <c r="I12" s="28" t="n">
        <f aca="false">'APUS SANITARIAS'!J69</f>
        <v>200</v>
      </c>
      <c r="J12" s="28" t="n">
        <f aca="false">H12*I12</f>
        <v>46800</v>
      </c>
      <c r="P12" s="14"/>
    </row>
    <row r="13" customFormat="false" ht="15" hidden="false" customHeight="false" outlineLevel="0" collapsed="false">
      <c r="A13" s="14" t="n">
        <v>4.04</v>
      </c>
      <c r="B13" s="13" t="s">
        <v>998</v>
      </c>
      <c r="G13" s="6"/>
      <c r="H13" s="28"/>
      <c r="I13" s="28"/>
      <c r="J13" s="134" t="n">
        <f aca="false">SUM(J14)</f>
        <v>8595.473664</v>
      </c>
    </row>
    <row r="14" customFormat="false" ht="15" hidden="false" customHeight="false" outlineLevel="0" collapsed="false">
      <c r="A14" s="1" t="s">
        <v>999</v>
      </c>
      <c r="B14" s="1" t="s">
        <v>998</v>
      </c>
      <c r="G14" s="6" t="s">
        <v>150</v>
      </c>
      <c r="H14" s="28" t="n">
        <f aca="false">ROUNDUP(SUM(BIBLIOTECA:INGRESO!G51:G51),0)</f>
        <v>16</v>
      </c>
      <c r="I14" s="28" t="n">
        <f aca="false">'APUS SANITARIAS'!J76</f>
        <v>537.217104</v>
      </c>
      <c r="J14" s="28" t="n">
        <f aca="false">H14*I14</f>
        <v>8595.473664</v>
      </c>
      <c r="P14" s="14"/>
    </row>
    <row r="15" customFormat="false" ht="15" hidden="false" customHeight="false" outlineLevel="0" collapsed="false">
      <c r="A15" s="14" t="n">
        <v>4.05</v>
      </c>
      <c r="B15" s="13" t="s">
        <v>1000</v>
      </c>
      <c r="G15" s="6"/>
      <c r="H15" s="28"/>
      <c r="I15" s="28"/>
      <c r="J15" s="134" t="n">
        <f aca="false">SUM(J16)</f>
        <v>9488.88199252479</v>
      </c>
    </row>
    <row r="16" customFormat="false" ht="15" hidden="false" customHeight="false" outlineLevel="0" collapsed="false">
      <c r="A16" s="1" t="s">
        <v>1001</v>
      </c>
      <c r="B16" s="1" t="s">
        <v>1002</v>
      </c>
      <c r="G16" s="6" t="s">
        <v>215</v>
      </c>
      <c r="H16" s="46" t="n">
        <f aca="false">ROUND(1.3*'Datos iniciales '!B3/75,0)</f>
        <v>60</v>
      </c>
      <c r="I16" s="28" t="n">
        <f aca="false">'APUS SANITARIAS'!J91</f>
        <v>158.148033208747</v>
      </c>
      <c r="J16" s="28" t="n">
        <f aca="false">H16*I16</f>
        <v>9488.88199252479</v>
      </c>
      <c r="P16" s="14"/>
    </row>
    <row r="17" customFormat="false" ht="15" hidden="false" customHeight="false" outlineLevel="0" collapsed="false">
      <c r="A17" s="14" t="n">
        <v>4.06</v>
      </c>
      <c r="B17" s="13" t="s">
        <v>1003</v>
      </c>
      <c r="G17" s="6"/>
      <c r="H17" s="28"/>
      <c r="I17" s="28"/>
      <c r="J17" s="134" t="n">
        <f aca="false">SUM(J18:J19)</f>
        <v>68584.03546</v>
      </c>
    </row>
    <row r="18" customFormat="false" ht="15" hidden="false" customHeight="false" outlineLevel="0" collapsed="false">
      <c r="A18" s="1" t="s">
        <v>1004</v>
      </c>
      <c r="B18" s="1" t="s">
        <v>1005</v>
      </c>
      <c r="G18" s="6" t="s">
        <v>215</v>
      </c>
      <c r="H18" s="28" t="n">
        <f aca="false">ROUNDUP(SUM(BIBLIOTECA:INGRESO!G53:G53),0)</f>
        <v>241</v>
      </c>
      <c r="I18" s="28" t="n">
        <f aca="false">'APUS SANITARIAS'!J108</f>
        <v>138.64528</v>
      </c>
      <c r="J18" s="28" t="n">
        <f aca="false">H18*I18</f>
        <v>33413.51248</v>
      </c>
      <c r="P18" s="14"/>
    </row>
    <row r="19" customFormat="false" ht="15" hidden="false" customHeight="false" outlineLevel="0" collapsed="false">
      <c r="A19" s="1" t="s">
        <v>1006</v>
      </c>
      <c r="B19" s="1" t="s">
        <v>1007</v>
      </c>
      <c r="G19" s="6" t="s">
        <v>215</v>
      </c>
      <c r="H19" s="28" t="n">
        <f aca="false">ROUNDUP(SUM(BIBLIOTECA:INGRESO!G54:G54),0)</f>
        <v>241</v>
      </c>
      <c r="I19" s="28" t="n">
        <f aca="false">'APUS SANITARIAS'!J127</f>
        <v>145.93578</v>
      </c>
      <c r="J19" s="28" t="n">
        <f aca="false">H19*I19</f>
        <v>35170.52298</v>
      </c>
    </row>
    <row r="20" customFormat="false" ht="15" hidden="false" customHeight="false" outlineLevel="0" collapsed="false">
      <c r="A20" s="14" t="n">
        <v>4.07</v>
      </c>
      <c r="B20" s="13" t="s">
        <v>1008</v>
      </c>
      <c r="G20" s="6"/>
      <c r="H20" s="28"/>
      <c r="I20" s="28"/>
      <c r="J20" s="134" t="n">
        <f aca="false">SUM(J21)</f>
        <v>33998.15438</v>
      </c>
    </row>
    <row r="21" customFormat="false" ht="15" hidden="false" customHeight="false" outlineLevel="0" collapsed="false">
      <c r="A21" s="1" t="s">
        <v>1009</v>
      </c>
      <c r="B21" s="1" t="s">
        <v>1010</v>
      </c>
      <c r="G21" s="6" t="s">
        <v>215</v>
      </c>
      <c r="H21" s="28" t="n">
        <f aca="false">ROUNDUP(SUM(BIBLIOTECA:INGRESO!G55:G55),0)</f>
        <v>241</v>
      </c>
      <c r="I21" s="28" t="n">
        <f aca="false">'APUS SANITARIAS'!J145</f>
        <v>141.07118</v>
      </c>
      <c r="J21" s="28" t="n">
        <f aca="false">H21*I21</f>
        <v>33998.15438</v>
      </c>
      <c r="P21" s="14"/>
    </row>
    <row r="22" customFormat="false" ht="15" hidden="false" customHeight="false" outlineLevel="0" collapsed="false">
      <c r="A22" s="14" t="n">
        <v>4.08</v>
      </c>
      <c r="B22" s="13" t="s">
        <v>1011</v>
      </c>
      <c r="G22" s="6"/>
      <c r="H22" s="28"/>
      <c r="I22" s="28"/>
      <c r="J22" s="134" t="n">
        <f aca="false">SUM(J23:J24)</f>
        <v>19898.2137775924</v>
      </c>
    </row>
    <row r="23" customFormat="false" ht="15" hidden="false" customHeight="false" outlineLevel="0" collapsed="false">
      <c r="A23" s="1" t="s">
        <v>1012</v>
      </c>
      <c r="B23" s="1" t="s">
        <v>1013</v>
      </c>
      <c r="G23" s="6" t="s">
        <v>150</v>
      </c>
      <c r="H23" s="28" t="n">
        <f aca="false">ROUNDUP(SUM(BIBLIOTECA:INGRESO!G56:G56),0)</f>
        <v>63</v>
      </c>
      <c r="I23" s="28" t="n">
        <f aca="false">'APUS SANITARIAS'!J163</f>
        <v>214.33092</v>
      </c>
      <c r="J23" s="28" t="n">
        <f aca="false">H23*I23</f>
        <v>13502.84796</v>
      </c>
      <c r="P23" s="14"/>
    </row>
    <row r="24" customFormat="false" ht="15" hidden="false" customHeight="false" outlineLevel="0" collapsed="false">
      <c r="A24" s="1" t="s">
        <v>1014</v>
      </c>
      <c r="B24" s="1" t="s">
        <v>1015</v>
      </c>
      <c r="G24" s="6" t="s">
        <v>150</v>
      </c>
      <c r="H24" s="28" t="n">
        <f aca="false">ROUNDUP(SUM(BIBLIOTECA:INGRESO!G57:G57),0)</f>
        <v>63</v>
      </c>
      <c r="I24" s="28" t="n">
        <f aca="false">'APUS SANITARIAS'!J178</f>
        <v>101.513743136387</v>
      </c>
      <c r="J24" s="28" t="n">
        <f aca="false">H24*I24</f>
        <v>6395.36581759238</v>
      </c>
    </row>
    <row r="25" customFormat="false" ht="15" hidden="false" customHeight="false" outlineLevel="0" collapsed="false">
      <c r="A25" s="14" t="n">
        <v>4.09</v>
      </c>
      <c r="B25" s="15" t="s">
        <v>113</v>
      </c>
      <c r="F25" s="28"/>
      <c r="G25" s="6"/>
      <c r="H25" s="28"/>
      <c r="J25" s="134" t="n">
        <f aca="false">SUM(J26:J28)</f>
        <v>381490.15</v>
      </c>
    </row>
    <row r="26" customFormat="false" ht="15" hidden="false" customHeight="false" outlineLevel="0" collapsed="false">
      <c r="A26" s="1" t="s">
        <v>1016</v>
      </c>
      <c r="B26" s="1" t="s">
        <v>114</v>
      </c>
      <c r="G26" s="6" t="s">
        <v>1017</v>
      </c>
      <c r="H26" s="28" t="n">
        <v>1</v>
      </c>
      <c r="I26" s="46" t="n">
        <f aca="false">'APUS SANITARIAS'!J195</f>
        <v>79716.91</v>
      </c>
      <c r="J26" s="28" t="n">
        <f aca="false">H26*I26</f>
        <v>79716.91</v>
      </c>
      <c r="P26" s="14"/>
    </row>
    <row r="27" customFormat="false" ht="15" hidden="false" customHeight="false" outlineLevel="0" collapsed="false">
      <c r="A27" s="1" t="s">
        <v>1018</v>
      </c>
      <c r="B27" s="1" t="s">
        <v>115</v>
      </c>
      <c r="G27" s="6" t="s">
        <v>1017</v>
      </c>
      <c r="H27" s="28" t="n">
        <v>1</v>
      </c>
      <c r="I27" s="46" t="n">
        <f aca="false">'APUS SANITARIAS'!J202</f>
        <v>131735.24</v>
      </c>
      <c r="J27" s="28" t="n">
        <f aca="false">H27*I27</f>
        <v>131735.24</v>
      </c>
    </row>
    <row r="28" customFormat="false" ht="15" hidden="false" customHeight="false" outlineLevel="0" collapsed="false">
      <c r="A28" s="1" t="s">
        <v>1019</v>
      </c>
      <c r="B28" s="1" t="s">
        <v>116</v>
      </c>
      <c r="G28" s="6" t="s">
        <v>1017</v>
      </c>
      <c r="H28" s="28" t="n">
        <v>1</v>
      </c>
      <c r="I28" s="46" t="n">
        <f aca="false">'APUS SANITARIAS'!J209</f>
        <v>170038</v>
      </c>
      <c r="J28" s="28" t="n">
        <f aca="false">H28*I28</f>
        <v>170038</v>
      </c>
    </row>
    <row r="29" customFormat="false" ht="15" hidden="false" customHeight="false" outlineLevel="0" collapsed="false">
      <c r="I29" s="2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4:T861"/>
  <sheetViews>
    <sheetView showFormulas="false" showGridLines="true" showRowColHeaders="true" showZeros="true" rightToLeft="false" tabSelected="false" showOutlineSymbols="true" defaultGridColor="true" view="normal" topLeftCell="B176" colorId="64" zoomScale="100" zoomScaleNormal="100" zoomScalePageLayoutView="100" workbookViewId="0">
      <selection pane="topLeft" activeCell="Q187" activeCellId="0" sqref="Q187"/>
    </sheetView>
  </sheetViews>
  <sheetFormatPr defaultColWidth="8.59765625" defaultRowHeight="15" zeroHeight="false" outlineLevelRow="0" outlineLevelCol="0"/>
  <cols>
    <col collapsed="false" customWidth="true" hidden="false" outlineLevel="0" max="9" min="9" style="1" width="9.3"/>
    <col collapsed="false" customWidth="true" hidden="false" outlineLevel="0" max="10" min="10" style="1" width="13.57"/>
    <col collapsed="false" customWidth="true" hidden="false" outlineLevel="0" max="17" min="16" style="1" width="10.86"/>
  </cols>
  <sheetData>
    <row r="4" customFormat="false" ht="15" hidden="false" customHeight="false" outlineLevel="0" collapsed="false">
      <c r="A4" s="14" t="s">
        <v>278</v>
      </c>
      <c r="B4" s="14" t="str">
        <f aca="false">SANITARIAS!A4</f>
        <v>04.01.01</v>
      </c>
      <c r="C4" s="14" t="s">
        <v>319</v>
      </c>
      <c r="D4" s="14"/>
    </row>
    <row r="5" customFormat="false" ht="15" hidden="false" customHeight="false" outlineLevel="0" collapsed="false">
      <c r="A5" s="14" t="s">
        <v>279</v>
      </c>
      <c r="B5" s="14" t="s">
        <v>326</v>
      </c>
      <c r="C5" s="36" t="s">
        <v>281</v>
      </c>
      <c r="D5" s="52" t="n">
        <v>35</v>
      </c>
      <c r="E5" s="36" t="s">
        <v>282</v>
      </c>
      <c r="F5" s="52" t="n">
        <f aca="false">D5</f>
        <v>35</v>
      </c>
      <c r="G5" s="14" t="s">
        <v>283</v>
      </c>
      <c r="I5" s="36" t="s">
        <v>150</v>
      </c>
      <c r="J5" s="53" t="n">
        <f aca="false">J9</f>
        <v>193.333333333333</v>
      </c>
      <c r="N5" s="14"/>
      <c r="O5" s="14"/>
    </row>
    <row r="6" customFormat="false" ht="15" hidden="false" customHeight="false" outlineLevel="0" collapsed="false">
      <c r="A6" s="14" t="s">
        <v>284</v>
      </c>
      <c r="B6" s="14" t="s">
        <v>285</v>
      </c>
      <c r="F6" s="36" t="s">
        <v>123</v>
      </c>
      <c r="G6" s="36" t="s">
        <v>286</v>
      </c>
      <c r="H6" s="36" t="s">
        <v>287</v>
      </c>
      <c r="I6" s="36" t="s">
        <v>288</v>
      </c>
      <c r="J6" s="36" t="s">
        <v>289</v>
      </c>
      <c r="O6" s="14"/>
    </row>
    <row r="7" customFormat="false" ht="15" hidden="false" customHeight="false" outlineLevel="0" collapsed="false">
      <c r="B7" s="54" t="s">
        <v>654</v>
      </c>
      <c r="O7" s="14"/>
    </row>
    <row r="8" customFormat="false" ht="15" hidden="false" customHeight="false" outlineLevel="0" collapsed="false">
      <c r="B8" s="1" t="s">
        <v>983</v>
      </c>
      <c r="F8" s="55" t="s">
        <v>150</v>
      </c>
      <c r="G8" s="56"/>
      <c r="H8" s="57" t="n">
        <f aca="false">1/3</f>
        <v>0.333333333333333</v>
      </c>
      <c r="I8" s="28" t="n">
        <v>580</v>
      </c>
      <c r="J8" s="28" t="n">
        <f aca="false">H8*I8</f>
        <v>193.333333333333</v>
      </c>
    </row>
    <row r="9" customFormat="false" ht="15" hidden="false" customHeight="false" outlineLevel="0" collapsed="false">
      <c r="A9" s="60"/>
      <c r="B9" s="60"/>
      <c r="C9" s="60"/>
      <c r="D9" s="60"/>
      <c r="E9" s="60"/>
      <c r="F9" s="62"/>
      <c r="G9" s="63"/>
      <c r="H9" s="64"/>
      <c r="I9" s="60"/>
      <c r="J9" s="61" t="n">
        <f aca="false">SUM(J8)</f>
        <v>193.333333333333</v>
      </c>
    </row>
    <row r="10" customFormat="false" ht="15" hidden="false" customHeight="false" outlineLevel="0" collapsed="false">
      <c r="F10" s="55"/>
      <c r="G10" s="56"/>
      <c r="H10" s="57"/>
      <c r="J10" s="28"/>
    </row>
    <row r="11" customFormat="false" ht="15" hidden="false" customHeight="false" outlineLevel="0" collapsed="false">
      <c r="A11" s="14" t="s">
        <v>278</v>
      </c>
      <c r="B11" s="14" t="str">
        <f aca="false">SANITARIAS!A5</f>
        <v>04.01.02</v>
      </c>
      <c r="C11" s="14" t="s">
        <v>1020</v>
      </c>
      <c r="D11" s="14"/>
    </row>
    <row r="12" customFormat="false" ht="15" hidden="false" customHeight="false" outlineLevel="0" collapsed="false">
      <c r="A12" s="14" t="s">
        <v>279</v>
      </c>
      <c r="B12" s="14" t="s">
        <v>326</v>
      </c>
      <c r="C12" s="36" t="s">
        <v>281</v>
      </c>
      <c r="D12" s="52" t="n">
        <v>35</v>
      </c>
      <c r="E12" s="36" t="s">
        <v>282</v>
      </c>
      <c r="F12" s="52" t="n">
        <f aca="false">D12</f>
        <v>35</v>
      </c>
      <c r="G12" s="14" t="s">
        <v>283</v>
      </c>
      <c r="I12" s="36" t="s">
        <v>150</v>
      </c>
      <c r="J12" s="53" t="n">
        <f aca="false">J16</f>
        <v>192.42</v>
      </c>
    </row>
    <row r="13" customFormat="false" ht="15" hidden="false" customHeight="false" outlineLevel="0" collapsed="false">
      <c r="A13" s="14" t="s">
        <v>284</v>
      </c>
      <c r="B13" s="14" t="s">
        <v>285</v>
      </c>
      <c r="F13" s="36" t="s">
        <v>123</v>
      </c>
      <c r="G13" s="36" t="s">
        <v>286</v>
      </c>
      <c r="H13" s="36" t="s">
        <v>287</v>
      </c>
      <c r="I13" s="36" t="s">
        <v>288</v>
      </c>
      <c r="J13" s="36" t="s">
        <v>289</v>
      </c>
    </row>
    <row r="14" customFormat="false" ht="15" hidden="false" customHeight="false" outlineLevel="0" collapsed="false">
      <c r="B14" s="54" t="s">
        <v>654</v>
      </c>
    </row>
    <row r="15" customFormat="false" ht="15" hidden="false" customHeight="false" outlineLevel="0" collapsed="false">
      <c r="B15" s="1" t="s">
        <v>985</v>
      </c>
      <c r="F15" s="55" t="s">
        <v>150</v>
      </c>
      <c r="G15" s="56"/>
      <c r="H15" s="57" t="n">
        <f aca="false">1/3</f>
        <v>0.333333333333333</v>
      </c>
      <c r="I15" s="28" t="n">
        <v>577.26</v>
      </c>
      <c r="J15" s="28" t="n">
        <f aca="false">H15*I15</f>
        <v>192.42</v>
      </c>
    </row>
    <row r="16" customFormat="false" ht="15" hidden="false" customHeight="false" outlineLevel="0" collapsed="false">
      <c r="A16" s="60"/>
      <c r="B16" s="60"/>
      <c r="C16" s="60"/>
      <c r="D16" s="60"/>
      <c r="E16" s="60"/>
      <c r="F16" s="62"/>
      <c r="G16" s="63"/>
      <c r="H16" s="64"/>
      <c r="I16" s="60"/>
      <c r="J16" s="61" t="n">
        <f aca="false">SUM(J15)</f>
        <v>192.42</v>
      </c>
    </row>
    <row r="18" customFormat="false" ht="15" hidden="false" customHeight="false" outlineLevel="0" collapsed="false">
      <c r="A18" s="14" t="s">
        <v>278</v>
      </c>
      <c r="B18" s="14" t="str">
        <f aca="false">SANITARIAS!A6</f>
        <v>04.01.03</v>
      </c>
      <c r="C18" s="14" t="s">
        <v>1021</v>
      </c>
      <c r="D18" s="14"/>
    </row>
    <row r="19" customFormat="false" ht="15" hidden="false" customHeight="false" outlineLevel="0" collapsed="false">
      <c r="A19" s="14" t="s">
        <v>279</v>
      </c>
      <c r="B19" s="14" t="s">
        <v>326</v>
      </c>
      <c r="C19" s="36" t="s">
        <v>281</v>
      </c>
      <c r="D19" s="52" t="n">
        <v>35</v>
      </c>
      <c r="E19" s="36" t="s">
        <v>282</v>
      </c>
      <c r="F19" s="52" t="n">
        <f aca="false">D19</f>
        <v>35</v>
      </c>
      <c r="G19" s="14" t="s">
        <v>283</v>
      </c>
      <c r="I19" s="36" t="s">
        <v>150</v>
      </c>
      <c r="J19" s="53" t="n">
        <f aca="false">J23</f>
        <v>67.5216666666667</v>
      </c>
    </row>
    <row r="20" customFormat="false" ht="15" hidden="false" customHeight="false" outlineLevel="0" collapsed="false">
      <c r="A20" s="14" t="s">
        <v>284</v>
      </c>
      <c r="B20" s="14" t="s">
        <v>285</v>
      </c>
      <c r="F20" s="36" t="s">
        <v>123</v>
      </c>
      <c r="G20" s="36" t="s">
        <v>286</v>
      </c>
      <c r="H20" s="36" t="s">
        <v>287</v>
      </c>
      <c r="I20" s="36" t="s">
        <v>288</v>
      </c>
      <c r="J20" s="36" t="s">
        <v>289</v>
      </c>
    </row>
    <row r="21" customFormat="false" ht="15" hidden="false" customHeight="false" outlineLevel="0" collapsed="false">
      <c r="B21" s="54" t="s">
        <v>654</v>
      </c>
    </row>
    <row r="22" customFormat="false" ht="15" hidden="false" customHeight="false" outlineLevel="0" collapsed="false">
      <c r="B22" s="1" t="s">
        <v>987</v>
      </c>
      <c r="F22" s="55" t="s">
        <v>150</v>
      </c>
      <c r="G22" s="56"/>
      <c r="H22" s="57" t="n">
        <f aca="false">1/3</f>
        <v>0.333333333333333</v>
      </c>
      <c r="I22" s="88" t="n">
        <v>202.565</v>
      </c>
      <c r="J22" s="28" t="n">
        <f aca="false">H22*I22</f>
        <v>67.5216666666667</v>
      </c>
    </row>
    <row r="23" customFormat="false" ht="15" hidden="false" customHeight="false" outlineLevel="0" collapsed="false">
      <c r="A23" s="60"/>
      <c r="B23" s="60"/>
      <c r="C23" s="60"/>
      <c r="D23" s="60"/>
      <c r="E23" s="60"/>
      <c r="F23" s="62"/>
      <c r="G23" s="63"/>
      <c r="H23" s="64"/>
      <c r="I23" s="60"/>
      <c r="J23" s="61" t="n">
        <f aca="false">SUM(J22:J22)</f>
        <v>67.5216666666667</v>
      </c>
    </row>
    <row r="25" customFormat="false" ht="15" hidden="false" customHeight="false" outlineLevel="0" collapsed="false">
      <c r="A25" s="14" t="s">
        <v>278</v>
      </c>
      <c r="B25" s="14" t="str">
        <f aca="false">SANITARIAS!A7</f>
        <v>04.01.04</v>
      </c>
      <c r="C25" s="14" t="s">
        <v>989</v>
      </c>
      <c r="D25" s="14"/>
    </row>
    <row r="26" customFormat="false" ht="15" hidden="false" customHeight="false" outlineLevel="0" collapsed="false">
      <c r="A26" s="14" t="s">
        <v>279</v>
      </c>
      <c r="B26" s="14" t="s">
        <v>326</v>
      </c>
      <c r="C26" s="36" t="s">
        <v>281</v>
      </c>
      <c r="D26" s="52" t="n">
        <v>1</v>
      </c>
      <c r="E26" s="36" t="s">
        <v>282</v>
      </c>
      <c r="F26" s="52" t="n">
        <f aca="false">D26</f>
        <v>1</v>
      </c>
      <c r="G26" s="14" t="s">
        <v>283</v>
      </c>
      <c r="I26" s="36" t="s">
        <v>150</v>
      </c>
      <c r="J26" s="53" t="n">
        <f aca="false">J30</f>
        <v>750</v>
      </c>
    </row>
    <row r="27" customFormat="false" ht="15" hidden="false" customHeight="false" outlineLevel="0" collapsed="false">
      <c r="A27" s="14" t="s">
        <v>284</v>
      </c>
      <c r="B27" s="14" t="s">
        <v>285</v>
      </c>
      <c r="F27" s="36" t="s">
        <v>123</v>
      </c>
      <c r="G27" s="36" t="s">
        <v>286</v>
      </c>
      <c r="H27" s="36" t="s">
        <v>287</v>
      </c>
      <c r="I27" s="36" t="s">
        <v>288</v>
      </c>
      <c r="J27" s="36" t="s">
        <v>289</v>
      </c>
    </row>
    <row r="28" customFormat="false" ht="15" hidden="false" customHeight="false" outlineLevel="0" collapsed="false">
      <c r="B28" s="54" t="s">
        <v>654</v>
      </c>
    </row>
    <row r="29" customFormat="false" ht="15" hidden="false" customHeight="false" outlineLevel="0" collapsed="false">
      <c r="B29" s="1" t="s">
        <v>989</v>
      </c>
      <c r="F29" s="55" t="s">
        <v>150</v>
      </c>
      <c r="G29" s="56"/>
      <c r="H29" s="57" t="n">
        <v>1</v>
      </c>
      <c r="I29" s="28" t="n">
        <v>750</v>
      </c>
      <c r="J29" s="28" t="n">
        <f aca="false">H29*I29</f>
        <v>750</v>
      </c>
    </row>
    <row r="30" customFormat="false" ht="15" hidden="false" customHeight="false" outlineLevel="0" collapsed="false">
      <c r="A30" s="60"/>
      <c r="B30" s="60"/>
      <c r="C30" s="60"/>
      <c r="D30" s="60"/>
      <c r="E30" s="60"/>
      <c r="F30" s="60"/>
      <c r="G30" s="60"/>
      <c r="H30" s="60"/>
      <c r="I30" s="80"/>
      <c r="J30" s="61" t="n">
        <f aca="false">SUM(J29)</f>
        <v>750</v>
      </c>
    </row>
    <row r="31" customFormat="false" ht="15" hidden="false" customHeight="false" outlineLevel="0" collapsed="false">
      <c r="A31" s="14" t="s">
        <v>278</v>
      </c>
      <c r="B31" s="14" t="str">
        <f aca="false">SANITARIAS!A9</f>
        <v>04.02.01</v>
      </c>
      <c r="C31" s="14" t="s">
        <v>992</v>
      </c>
      <c r="D31" s="14"/>
    </row>
    <row r="32" customFormat="false" ht="15" hidden="false" customHeight="false" outlineLevel="0" collapsed="false">
      <c r="A32" s="14" t="s">
        <v>279</v>
      </c>
      <c r="B32" s="14" t="s">
        <v>414</v>
      </c>
      <c r="C32" s="36" t="s">
        <v>281</v>
      </c>
      <c r="D32" s="52" t="n">
        <v>3</v>
      </c>
      <c r="E32" s="36" t="s">
        <v>282</v>
      </c>
      <c r="F32" s="52" t="n">
        <f aca="false">D32</f>
        <v>3</v>
      </c>
      <c r="G32" s="14" t="s">
        <v>283</v>
      </c>
      <c r="I32" s="36" t="s">
        <v>215</v>
      </c>
      <c r="J32" s="53" t="n">
        <f aca="false">J38+J44+J47</f>
        <v>131.737813333333</v>
      </c>
    </row>
    <row r="33" customFormat="false" ht="15" hidden="false" customHeight="false" outlineLevel="0" collapsed="false">
      <c r="A33" s="14" t="s">
        <v>284</v>
      </c>
      <c r="B33" s="14" t="s">
        <v>285</v>
      </c>
      <c r="F33" s="36" t="s">
        <v>123</v>
      </c>
      <c r="G33" s="36" t="s">
        <v>286</v>
      </c>
      <c r="H33" s="36" t="s">
        <v>287</v>
      </c>
      <c r="I33" s="36" t="s">
        <v>288</v>
      </c>
      <c r="J33" s="36" t="s">
        <v>289</v>
      </c>
    </row>
    <row r="34" customFormat="false" ht="15" hidden="false" customHeight="false" outlineLevel="0" collapsed="false">
      <c r="B34" s="54" t="s">
        <v>290</v>
      </c>
    </row>
    <row r="35" customFormat="false" ht="15" hidden="false" customHeight="false" outlineLevel="0" collapsed="false">
      <c r="B35" s="1" t="s">
        <v>651</v>
      </c>
      <c r="F35" s="55" t="s">
        <v>292</v>
      </c>
      <c r="G35" s="56" t="n">
        <v>0.1</v>
      </c>
      <c r="H35" s="57" t="n">
        <f aca="false">G35*8/$D$32</f>
        <v>0.266666666666667</v>
      </c>
      <c r="I35" s="28" t="n">
        <v>34.73</v>
      </c>
      <c r="J35" s="28" t="n">
        <f aca="false">H35*I35</f>
        <v>9.26133333333333</v>
      </c>
    </row>
    <row r="36" customFormat="false" ht="15" hidden="false" customHeight="false" outlineLevel="0" collapsed="false">
      <c r="B36" s="1" t="s">
        <v>291</v>
      </c>
      <c r="F36" s="55" t="s">
        <v>292</v>
      </c>
      <c r="G36" s="56" t="n">
        <v>1</v>
      </c>
      <c r="H36" s="57" t="n">
        <f aca="false">G36*8/$D$32</f>
        <v>2.66666666666667</v>
      </c>
      <c r="I36" s="28" t="n">
        <v>28.94</v>
      </c>
      <c r="J36" s="28" t="n">
        <f aca="false">H36*I36</f>
        <v>77.1733333333333</v>
      </c>
    </row>
    <row r="37" customFormat="false" ht="15" hidden="false" customHeight="false" outlineLevel="0" collapsed="false">
      <c r="B37" s="1" t="s">
        <v>294</v>
      </c>
      <c r="F37" s="55" t="s">
        <v>292</v>
      </c>
      <c r="G37" s="56" t="n">
        <v>0.5</v>
      </c>
      <c r="H37" s="57" t="n">
        <f aca="false">G37*8/$D$32</f>
        <v>1.33333333333333</v>
      </c>
      <c r="I37" s="1" t="n">
        <v>20.51</v>
      </c>
      <c r="J37" s="28" t="n">
        <f aca="false">H37*I37</f>
        <v>27.3466666666667</v>
      </c>
    </row>
    <row r="38" customFormat="false" ht="15" hidden="false" customHeight="false" outlineLevel="0" collapsed="false">
      <c r="F38" s="55"/>
      <c r="G38" s="56"/>
      <c r="H38" s="57"/>
      <c r="J38" s="53" t="n">
        <f aca="false">SUM(J35:J37)</f>
        <v>113.781333333333</v>
      </c>
    </row>
    <row r="39" customFormat="false" ht="15" hidden="false" customHeight="false" outlineLevel="0" collapsed="false">
      <c r="B39" s="54" t="s">
        <v>654</v>
      </c>
      <c r="F39" s="55"/>
      <c r="G39" s="56"/>
      <c r="H39" s="57"/>
      <c r="J39" s="28"/>
    </row>
    <row r="40" customFormat="false" ht="15" hidden="false" customHeight="false" outlineLevel="0" collapsed="false">
      <c r="B40" s="1" t="s">
        <v>1022</v>
      </c>
      <c r="F40" s="55" t="s">
        <v>440</v>
      </c>
      <c r="H40" s="57" t="n">
        <v>0.03</v>
      </c>
      <c r="I40" s="1" t="n">
        <v>189.66</v>
      </c>
      <c r="J40" s="28" t="n">
        <f aca="false">H40*I40</f>
        <v>5.6898</v>
      </c>
    </row>
    <row r="41" customFormat="false" ht="15" hidden="false" customHeight="false" outlineLevel="0" collapsed="false">
      <c r="B41" s="1" t="s">
        <v>1023</v>
      </c>
      <c r="F41" s="55" t="s">
        <v>331</v>
      </c>
      <c r="H41" s="57" t="n">
        <v>0.412</v>
      </c>
      <c r="I41" s="1" t="n">
        <v>11.27</v>
      </c>
      <c r="J41" s="28" t="n">
        <f aca="false">H41*I41</f>
        <v>4.64324</v>
      </c>
    </row>
    <row r="42" customFormat="false" ht="15" hidden="false" customHeight="false" outlineLevel="0" collapsed="false">
      <c r="B42" s="1" t="s">
        <v>1024</v>
      </c>
      <c r="F42" s="55" t="s">
        <v>331</v>
      </c>
      <c r="H42" s="57" t="n">
        <v>2</v>
      </c>
      <c r="I42" s="28" t="n">
        <v>1.19</v>
      </c>
      <c r="J42" s="28" t="n">
        <f aca="false">H42*I42</f>
        <v>2.38</v>
      </c>
    </row>
    <row r="43" customFormat="false" ht="15" hidden="false" customHeight="false" outlineLevel="0" collapsed="false">
      <c r="B43" s="1" t="s">
        <v>1025</v>
      </c>
      <c r="F43" s="55" t="s">
        <v>331</v>
      </c>
      <c r="H43" s="57" t="n">
        <v>1</v>
      </c>
      <c r="I43" s="28" t="n">
        <v>1.83</v>
      </c>
      <c r="J43" s="28" t="n">
        <f aca="false">H43*I43</f>
        <v>1.83</v>
      </c>
    </row>
    <row r="44" customFormat="false" ht="15" hidden="false" customHeight="false" outlineLevel="0" collapsed="false">
      <c r="F44" s="55"/>
      <c r="H44" s="57"/>
      <c r="I44" s="28"/>
      <c r="J44" s="53" t="n">
        <f aca="false">SUM(J40:J43)</f>
        <v>14.54304</v>
      </c>
    </row>
    <row r="45" customFormat="false" ht="15" hidden="false" customHeight="false" outlineLevel="0" collapsed="false">
      <c r="B45" s="54" t="s">
        <v>310</v>
      </c>
    </row>
    <row r="46" customFormat="false" ht="15" hidden="false" customHeight="false" outlineLevel="0" collapsed="false">
      <c r="B46" s="1" t="s">
        <v>311</v>
      </c>
      <c r="F46" s="55" t="s">
        <v>312</v>
      </c>
      <c r="H46" s="57" t="n">
        <v>3</v>
      </c>
      <c r="I46" s="28" t="n">
        <f aca="false">J38</f>
        <v>113.781333333333</v>
      </c>
      <c r="J46" s="28" t="n">
        <f aca="false">H46%*I46</f>
        <v>3.41344</v>
      </c>
    </row>
    <row r="47" customFormat="false" ht="15" hidden="false" customHeight="false" outlineLevel="0" collapsed="false">
      <c r="A47" s="60"/>
      <c r="B47" s="60"/>
      <c r="C47" s="60"/>
      <c r="D47" s="60"/>
      <c r="E47" s="60"/>
      <c r="F47" s="60"/>
      <c r="G47" s="60"/>
      <c r="H47" s="60"/>
      <c r="I47" s="80"/>
      <c r="J47" s="61" t="n">
        <f aca="false">SUM(J46)</f>
        <v>3.41344</v>
      </c>
    </row>
    <row r="49" customFormat="false" ht="15" hidden="false" customHeight="false" outlineLevel="0" collapsed="false">
      <c r="A49" s="14" t="s">
        <v>278</v>
      </c>
      <c r="B49" s="14" t="str">
        <f aca="false">SANITARIAS!A10</f>
        <v>04.02.02</v>
      </c>
      <c r="C49" s="14" t="s">
        <v>994</v>
      </c>
      <c r="D49" s="14"/>
    </row>
    <row r="50" customFormat="false" ht="15" hidden="false" customHeight="false" outlineLevel="0" collapsed="false">
      <c r="A50" s="14" t="s">
        <v>279</v>
      </c>
      <c r="B50" s="14" t="s">
        <v>414</v>
      </c>
      <c r="C50" s="36" t="s">
        <v>281</v>
      </c>
      <c r="D50" s="52" t="n">
        <v>2</v>
      </c>
      <c r="E50" s="36" t="s">
        <v>282</v>
      </c>
      <c r="F50" s="52" t="n">
        <f aca="false">D50</f>
        <v>2</v>
      </c>
      <c r="G50" s="14" t="s">
        <v>283</v>
      </c>
      <c r="I50" s="36" t="s">
        <v>215</v>
      </c>
      <c r="J50" s="53" t="n">
        <f aca="false">J56+J63+J66</f>
        <v>210.60376</v>
      </c>
    </row>
    <row r="51" customFormat="false" ht="15" hidden="false" customHeight="false" outlineLevel="0" collapsed="false">
      <c r="A51" s="14" t="s">
        <v>284</v>
      </c>
      <c r="B51" s="14" t="s">
        <v>285</v>
      </c>
      <c r="F51" s="36" t="s">
        <v>123</v>
      </c>
      <c r="G51" s="36" t="s">
        <v>286</v>
      </c>
      <c r="H51" s="36" t="s">
        <v>287</v>
      </c>
      <c r="I51" s="36" t="s">
        <v>288</v>
      </c>
      <c r="J51" s="36" t="s">
        <v>289</v>
      </c>
    </row>
    <row r="52" customFormat="false" ht="15" hidden="false" customHeight="false" outlineLevel="0" collapsed="false">
      <c r="B52" s="54" t="s">
        <v>290</v>
      </c>
    </row>
    <row r="53" customFormat="false" ht="15" hidden="false" customHeight="false" outlineLevel="0" collapsed="false">
      <c r="B53" s="1" t="s">
        <v>651</v>
      </c>
      <c r="F53" s="55" t="s">
        <v>292</v>
      </c>
      <c r="G53" s="56" t="n">
        <v>0.1</v>
      </c>
      <c r="H53" s="57" t="n">
        <f aca="false">G53*8/$D$50</f>
        <v>0.4</v>
      </c>
      <c r="I53" s="28" t="n">
        <v>34.73</v>
      </c>
      <c r="J53" s="28" t="n">
        <f aca="false">H53*I53</f>
        <v>13.892</v>
      </c>
    </row>
    <row r="54" customFormat="false" ht="15" hidden="false" customHeight="false" outlineLevel="0" collapsed="false">
      <c r="B54" s="1" t="s">
        <v>291</v>
      </c>
      <c r="F54" s="55" t="s">
        <v>292</v>
      </c>
      <c r="G54" s="56" t="n">
        <v>1</v>
      </c>
      <c r="H54" s="57" t="n">
        <f aca="false">G54*8/$D$50</f>
        <v>4</v>
      </c>
      <c r="I54" s="28" t="n">
        <v>28.94</v>
      </c>
      <c r="J54" s="28" t="n">
        <f aca="false">H54*I54</f>
        <v>115.76</v>
      </c>
    </row>
    <row r="55" customFormat="false" ht="15" hidden="false" customHeight="false" outlineLevel="0" collapsed="false">
      <c r="B55" s="1" t="s">
        <v>294</v>
      </c>
      <c r="F55" s="55" t="s">
        <v>292</v>
      </c>
      <c r="G55" s="56" t="n">
        <v>0.5</v>
      </c>
      <c r="H55" s="57" t="n">
        <f aca="false">G55*8/$D$50</f>
        <v>2</v>
      </c>
      <c r="I55" s="28" t="n">
        <v>20.51</v>
      </c>
      <c r="J55" s="28" t="n">
        <f aca="false">H55*I55</f>
        <v>41.02</v>
      </c>
    </row>
    <row r="56" customFormat="false" ht="15" hidden="false" customHeight="false" outlineLevel="0" collapsed="false">
      <c r="F56" s="55"/>
      <c r="G56" s="56"/>
      <c r="H56" s="57"/>
      <c r="I56" s="28"/>
      <c r="J56" s="53" t="n">
        <f aca="false">SUM(J53:J55)</f>
        <v>170.672</v>
      </c>
    </row>
    <row r="57" customFormat="false" ht="15" hidden="false" customHeight="false" outlineLevel="0" collapsed="false">
      <c r="B57" s="54" t="s">
        <v>654</v>
      </c>
      <c r="F57" s="55"/>
      <c r="G57" s="56"/>
      <c r="H57" s="57"/>
      <c r="I57" s="28"/>
      <c r="J57" s="28"/>
    </row>
    <row r="58" customFormat="false" ht="15" hidden="false" customHeight="false" outlineLevel="0" collapsed="false">
      <c r="B58" s="1" t="s">
        <v>1026</v>
      </c>
      <c r="F58" s="55" t="s">
        <v>440</v>
      </c>
      <c r="H58" s="57" t="n">
        <v>0.04</v>
      </c>
      <c r="I58" s="28" t="n">
        <v>400.54</v>
      </c>
      <c r="J58" s="28" t="n">
        <f aca="false">H58*I58</f>
        <v>16.0216</v>
      </c>
    </row>
    <row r="59" customFormat="false" ht="15" hidden="false" customHeight="false" outlineLevel="0" collapsed="false">
      <c r="B59" s="1" t="s">
        <v>1027</v>
      </c>
      <c r="F59" s="55" t="s">
        <v>331</v>
      </c>
      <c r="H59" s="57" t="n">
        <v>0.5</v>
      </c>
      <c r="I59" s="28" t="n">
        <v>26.1</v>
      </c>
      <c r="J59" s="28" t="n">
        <f aca="false">H59*I59</f>
        <v>13.05</v>
      </c>
    </row>
    <row r="60" customFormat="false" ht="15" hidden="false" customHeight="false" outlineLevel="0" collapsed="false">
      <c r="B60" s="1" t="s">
        <v>1028</v>
      </c>
      <c r="F60" s="55" t="s">
        <v>331</v>
      </c>
      <c r="H60" s="57" t="n">
        <v>1</v>
      </c>
      <c r="I60" s="28" t="n">
        <v>1</v>
      </c>
      <c r="J60" s="28" t="n">
        <f aca="false">H60*I60</f>
        <v>1</v>
      </c>
    </row>
    <row r="61" customFormat="false" ht="15" hidden="false" customHeight="false" outlineLevel="0" collapsed="false">
      <c r="B61" s="1" t="s">
        <v>1029</v>
      </c>
      <c r="F61" s="55" t="s">
        <v>331</v>
      </c>
      <c r="H61" s="57" t="n">
        <v>2</v>
      </c>
      <c r="I61" s="28" t="n">
        <v>1.27</v>
      </c>
      <c r="J61" s="28" t="n">
        <f aca="false">H61*I61</f>
        <v>2.54</v>
      </c>
    </row>
    <row r="62" customFormat="false" ht="15" hidden="false" customHeight="false" outlineLevel="0" collapsed="false">
      <c r="B62" s="1" t="s">
        <v>1030</v>
      </c>
      <c r="F62" s="55" t="s">
        <v>331</v>
      </c>
      <c r="H62" s="57" t="n">
        <v>1</v>
      </c>
      <c r="I62" s="46" t="n">
        <v>2.2</v>
      </c>
      <c r="J62" s="28" t="n">
        <f aca="false">H62*I62</f>
        <v>2.2</v>
      </c>
    </row>
    <row r="63" customFormat="false" ht="15" hidden="false" customHeight="false" outlineLevel="0" collapsed="false">
      <c r="F63" s="55"/>
      <c r="H63" s="57"/>
      <c r="I63" s="28"/>
      <c r="J63" s="53" t="n">
        <f aca="false">SUM(J58:J62)</f>
        <v>34.8116</v>
      </c>
    </row>
    <row r="64" customFormat="false" ht="15" hidden="false" customHeight="false" outlineLevel="0" collapsed="false">
      <c r="B64" s="54" t="s">
        <v>310</v>
      </c>
    </row>
    <row r="65" customFormat="false" ht="15" hidden="false" customHeight="false" outlineLevel="0" collapsed="false">
      <c r="B65" s="1" t="s">
        <v>311</v>
      </c>
      <c r="F65" s="55" t="s">
        <v>312</v>
      </c>
      <c r="H65" s="57" t="n">
        <v>3</v>
      </c>
      <c r="I65" s="28" t="n">
        <f aca="false">J56</f>
        <v>170.672</v>
      </c>
      <c r="J65" s="28" t="n">
        <f aca="false">H65%*I65</f>
        <v>5.12016</v>
      </c>
    </row>
    <row r="66" customFormat="false" ht="15" hidden="false" customHeight="false" outlineLevel="0" collapsed="false">
      <c r="A66" s="60"/>
      <c r="B66" s="60"/>
      <c r="C66" s="60"/>
      <c r="D66" s="60"/>
      <c r="E66" s="60"/>
      <c r="F66" s="60"/>
      <c r="G66" s="60"/>
      <c r="H66" s="60"/>
      <c r="I66" s="80"/>
      <c r="J66" s="61" t="n">
        <f aca="false">SUM(J65)</f>
        <v>5.12016</v>
      </c>
    </row>
    <row r="68" customFormat="false" ht="15" hidden="false" customHeight="false" outlineLevel="0" collapsed="false">
      <c r="A68" s="14" t="s">
        <v>278</v>
      </c>
      <c r="B68" s="14" t="str">
        <f aca="false">SANITARIAS!A12</f>
        <v>04.03.01</v>
      </c>
      <c r="C68" s="14" t="s">
        <v>997</v>
      </c>
      <c r="D68" s="14"/>
    </row>
    <row r="69" customFormat="false" ht="15" hidden="false" customHeight="false" outlineLevel="0" collapsed="false">
      <c r="A69" s="14" t="s">
        <v>279</v>
      </c>
      <c r="B69" s="14" t="s">
        <v>332</v>
      </c>
      <c r="C69" s="36" t="s">
        <v>281</v>
      </c>
      <c r="D69" s="52" t="n">
        <v>1</v>
      </c>
      <c r="E69" s="36" t="s">
        <v>282</v>
      </c>
      <c r="F69" s="52" t="n">
        <f aca="false">D69</f>
        <v>1</v>
      </c>
      <c r="G69" s="14" t="s">
        <v>283</v>
      </c>
      <c r="I69" s="36" t="s">
        <v>155</v>
      </c>
      <c r="J69" s="53" t="n">
        <f aca="false">J73</f>
        <v>200</v>
      </c>
    </row>
    <row r="70" customFormat="false" ht="15" hidden="false" customHeight="false" outlineLevel="0" collapsed="false">
      <c r="A70" s="14" t="s">
        <v>284</v>
      </c>
      <c r="B70" s="14" t="s">
        <v>285</v>
      </c>
      <c r="F70" s="36" t="s">
        <v>123</v>
      </c>
      <c r="G70" s="36" t="s">
        <v>286</v>
      </c>
      <c r="H70" s="36" t="s">
        <v>287</v>
      </c>
      <c r="I70" s="36" t="s">
        <v>288</v>
      </c>
      <c r="J70" s="36" t="s">
        <v>289</v>
      </c>
    </row>
    <row r="71" customFormat="false" ht="15" hidden="false" customHeight="false" outlineLevel="0" collapsed="false">
      <c r="B71" s="54" t="s">
        <v>295</v>
      </c>
    </row>
    <row r="72" customFormat="false" ht="15" hidden="false" customHeight="false" outlineLevel="0" collapsed="false">
      <c r="B72" s="1" t="s">
        <v>997</v>
      </c>
      <c r="F72" s="55" t="s">
        <v>155</v>
      </c>
      <c r="G72" s="56"/>
      <c r="H72" s="57" t="n">
        <v>1</v>
      </c>
      <c r="I72" s="28" t="n">
        <v>200</v>
      </c>
      <c r="J72" s="28" t="n">
        <f aca="false">H72*I72</f>
        <v>200</v>
      </c>
    </row>
    <row r="73" customFormat="false" ht="15" hidden="false" customHeight="false" outlineLevel="0" collapsed="false">
      <c r="A73" s="60"/>
      <c r="B73" s="60"/>
      <c r="C73" s="60"/>
      <c r="D73" s="60"/>
      <c r="E73" s="60"/>
      <c r="F73" s="60"/>
      <c r="G73" s="60"/>
      <c r="H73" s="60"/>
      <c r="I73" s="80"/>
      <c r="J73" s="61" t="n">
        <f aca="false">SUM(J72)</f>
        <v>200</v>
      </c>
    </row>
    <row r="75" customFormat="false" ht="15" hidden="false" customHeight="false" outlineLevel="0" collapsed="false">
      <c r="A75" s="14" t="s">
        <v>278</v>
      </c>
      <c r="B75" s="14" t="str">
        <f aca="false">SANITARIAS!A14</f>
        <v>04.04.01</v>
      </c>
      <c r="C75" s="14" t="s">
        <v>998</v>
      </c>
      <c r="D75" s="14"/>
    </row>
    <row r="76" customFormat="false" ht="15" hidden="false" customHeight="false" outlineLevel="0" collapsed="false">
      <c r="A76" s="14" t="s">
        <v>279</v>
      </c>
      <c r="B76" s="14" t="s">
        <v>332</v>
      </c>
      <c r="C76" s="36" t="s">
        <v>281</v>
      </c>
      <c r="D76" s="52" t="n">
        <v>5</v>
      </c>
      <c r="E76" s="36" t="s">
        <v>282</v>
      </c>
      <c r="F76" s="52" t="n">
        <f aca="false">D76</f>
        <v>5</v>
      </c>
      <c r="G76" s="14" t="s">
        <v>283</v>
      </c>
      <c r="I76" s="36" t="s">
        <v>155</v>
      </c>
      <c r="J76" s="53" t="n">
        <f aca="false">J82+J85+J88</f>
        <v>537.217104</v>
      </c>
    </row>
    <row r="77" customFormat="false" ht="15" hidden="false" customHeight="false" outlineLevel="0" collapsed="false">
      <c r="A77" s="14" t="s">
        <v>284</v>
      </c>
      <c r="B77" s="14" t="s">
        <v>285</v>
      </c>
      <c r="F77" s="36" t="s">
        <v>123</v>
      </c>
      <c r="G77" s="36" t="s">
        <v>286</v>
      </c>
      <c r="H77" s="36" t="s">
        <v>287</v>
      </c>
      <c r="I77" s="36" t="s">
        <v>288</v>
      </c>
      <c r="J77" s="36" t="s">
        <v>289</v>
      </c>
    </row>
    <row r="78" customFormat="false" ht="15" hidden="false" customHeight="false" outlineLevel="0" collapsed="false">
      <c r="B78" s="54" t="s">
        <v>290</v>
      </c>
    </row>
    <row r="79" customFormat="false" ht="15" hidden="false" customHeight="false" outlineLevel="0" collapsed="false">
      <c r="B79" s="1" t="s">
        <v>651</v>
      </c>
      <c r="F79" s="55" t="s">
        <v>292</v>
      </c>
      <c r="G79" s="56" t="n">
        <v>0.1</v>
      </c>
      <c r="H79" s="57" t="n">
        <f aca="false">G79*8/$D$76</f>
        <v>0.16</v>
      </c>
      <c r="I79" s="28" t="n">
        <v>34.73</v>
      </c>
      <c r="J79" s="28" t="n">
        <f aca="false">H79*I79</f>
        <v>5.5568</v>
      </c>
    </row>
    <row r="80" customFormat="false" ht="15" hidden="false" customHeight="false" outlineLevel="0" collapsed="false">
      <c r="B80" s="1" t="s">
        <v>291</v>
      </c>
      <c r="F80" s="55" t="s">
        <v>292</v>
      </c>
      <c r="G80" s="56" t="n">
        <v>1</v>
      </c>
      <c r="H80" s="57" t="n">
        <f aca="false">G80*8/$D$76</f>
        <v>1.6</v>
      </c>
      <c r="I80" s="28" t="n">
        <v>28.94</v>
      </c>
      <c r="J80" s="28" t="n">
        <f aca="false">H80*I80</f>
        <v>46.304</v>
      </c>
    </row>
    <row r="81" customFormat="false" ht="15" hidden="false" customHeight="false" outlineLevel="0" collapsed="false">
      <c r="B81" s="1" t="s">
        <v>294</v>
      </c>
      <c r="F81" s="55" t="s">
        <v>292</v>
      </c>
      <c r="G81" s="56" t="n">
        <v>1</v>
      </c>
      <c r="H81" s="57" t="n">
        <f aca="false">G81*8/$D$76</f>
        <v>1.6</v>
      </c>
      <c r="I81" s="1" t="n">
        <v>20.51</v>
      </c>
      <c r="J81" s="28" t="n">
        <f aca="false">H81*I81</f>
        <v>32.816</v>
      </c>
    </row>
    <row r="82" customFormat="false" ht="15" hidden="false" customHeight="false" outlineLevel="0" collapsed="false">
      <c r="F82" s="55"/>
      <c r="G82" s="56"/>
      <c r="H82" s="57"/>
      <c r="J82" s="53" t="n">
        <f aca="false">SUM(J79:J81)</f>
        <v>84.6768</v>
      </c>
    </row>
    <row r="83" customFormat="false" ht="15" hidden="false" customHeight="false" outlineLevel="0" collapsed="false">
      <c r="B83" s="54" t="s">
        <v>654</v>
      </c>
      <c r="F83" s="55"/>
      <c r="G83" s="56"/>
      <c r="H83" s="28"/>
      <c r="J83" s="28"/>
    </row>
    <row r="84" customFormat="false" ht="15" hidden="false" customHeight="false" outlineLevel="0" collapsed="false">
      <c r="B84" s="1" t="s">
        <v>1031</v>
      </c>
      <c r="F84" s="55" t="s">
        <v>150</v>
      </c>
      <c r="H84" s="28" t="n">
        <v>1</v>
      </c>
      <c r="I84" s="46" t="n">
        <v>450</v>
      </c>
      <c r="J84" s="28" t="n">
        <f aca="false">H84*I84</f>
        <v>450</v>
      </c>
    </row>
    <row r="85" customFormat="false" ht="15" hidden="false" customHeight="false" outlineLevel="0" collapsed="false">
      <c r="F85" s="55"/>
      <c r="H85" s="28"/>
      <c r="I85" s="28"/>
      <c r="J85" s="53" t="n">
        <f aca="false">SUM(J84)</f>
        <v>450</v>
      </c>
    </row>
    <row r="86" customFormat="false" ht="15" hidden="false" customHeight="false" outlineLevel="0" collapsed="false">
      <c r="B86" s="54" t="s">
        <v>310</v>
      </c>
    </row>
    <row r="87" customFormat="false" ht="15" hidden="false" customHeight="false" outlineLevel="0" collapsed="false">
      <c r="B87" s="1" t="s">
        <v>311</v>
      </c>
      <c r="F87" s="55" t="s">
        <v>312</v>
      </c>
      <c r="H87" s="57" t="n">
        <v>3</v>
      </c>
      <c r="I87" s="28" t="n">
        <f aca="false">J82</f>
        <v>84.6768</v>
      </c>
      <c r="J87" s="28" t="n">
        <f aca="false">H87%*I87</f>
        <v>2.540304</v>
      </c>
    </row>
    <row r="88" customFormat="false" ht="15" hidden="false" customHeight="false" outlineLevel="0" collapsed="false">
      <c r="A88" s="60"/>
      <c r="B88" s="60"/>
      <c r="C88" s="60"/>
      <c r="D88" s="60"/>
      <c r="E88" s="60"/>
      <c r="F88" s="60"/>
      <c r="G88" s="60"/>
      <c r="H88" s="60"/>
      <c r="I88" s="80"/>
      <c r="J88" s="61" t="n">
        <f aca="false">SUM(J87:J87)</f>
        <v>2.540304</v>
      </c>
    </row>
    <row r="89" customFormat="false" ht="15" hidden="false" customHeight="false" outlineLevel="0" collapsed="false">
      <c r="F89" s="55"/>
      <c r="H89" s="28"/>
      <c r="I89" s="28"/>
      <c r="J89" s="28"/>
    </row>
    <row r="90" customFormat="false" ht="15" hidden="false" customHeight="false" outlineLevel="0" collapsed="false">
      <c r="A90" s="14" t="s">
        <v>278</v>
      </c>
      <c r="B90" s="14" t="str">
        <f aca="false">SANITARIAS!A16</f>
        <v>04.05.01</v>
      </c>
      <c r="C90" s="14" t="s">
        <v>1002</v>
      </c>
      <c r="D90" s="14"/>
    </row>
    <row r="91" customFormat="false" ht="15" hidden="false" customHeight="false" outlineLevel="0" collapsed="false">
      <c r="A91" s="14" t="s">
        <v>279</v>
      </c>
      <c r="B91" s="14" t="s">
        <v>414</v>
      </c>
      <c r="C91" s="36" t="s">
        <v>281</v>
      </c>
      <c r="D91" s="52" t="n">
        <v>4</v>
      </c>
      <c r="E91" s="36" t="s">
        <v>282</v>
      </c>
      <c r="F91" s="52" t="n">
        <f aca="false">D91</f>
        <v>4</v>
      </c>
      <c r="G91" s="14" t="s">
        <v>283</v>
      </c>
      <c r="I91" s="36" t="s">
        <v>215</v>
      </c>
      <c r="J91" s="53" t="n">
        <f aca="false">J97+J102+J105</f>
        <v>158.148033208747</v>
      </c>
      <c r="N91" s="14"/>
    </row>
    <row r="92" customFormat="false" ht="15" hidden="false" customHeight="false" outlineLevel="0" collapsed="false">
      <c r="A92" s="14" t="s">
        <v>284</v>
      </c>
      <c r="B92" s="14" t="s">
        <v>285</v>
      </c>
      <c r="F92" s="36" t="s">
        <v>123</v>
      </c>
      <c r="G92" s="36" t="s">
        <v>286</v>
      </c>
      <c r="H92" s="36" t="s">
        <v>287</v>
      </c>
      <c r="I92" s="36" t="s">
        <v>288</v>
      </c>
      <c r="J92" s="36" t="s">
        <v>289</v>
      </c>
      <c r="M92" s="14"/>
      <c r="N92" s="14"/>
    </row>
    <row r="93" customFormat="false" ht="15" hidden="false" customHeight="false" outlineLevel="0" collapsed="false">
      <c r="B93" s="54" t="s">
        <v>290</v>
      </c>
      <c r="N93" s="14"/>
    </row>
    <row r="94" customFormat="false" ht="15" hidden="false" customHeight="false" outlineLevel="0" collapsed="false">
      <c r="B94" s="1" t="s">
        <v>651</v>
      </c>
      <c r="F94" s="55" t="s">
        <v>292</v>
      </c>
      <c r="G94" s="56" t="n">
        <v>0.1</v>
      </c>
      <c r="H94" s="57" t="n">
        <f aca="false">G94*8/$D$91</f>
        <v>0.2</v>
      </c>
      <c r="I94" s="28" t="n">
        <v>34.73</v>
      </c>
      <c r="J94" s="28" t="n">
        <f aca="false">H94*I94</f>
        <v>6.946</v>
      </c>
      <c r="N94" s="14"/>
    </row>
    <row r="95" customFormat="false" ht="15" hidden="false" customHeight="false" outlineLevel="0" collapsed="false">
      <c r="B95" s="1" t="s">
        <v>291</v>
      </c>
      <c r="F95" s="55" t="s">
        <v>292</v>
      </c>
      <c r="G95" s="56" t="n">
        <v>1</v>
      </c>
      <c r="H95" s="57" t="n">
        <f aca="false">G95*8/$D$91</f>
        <v>2</v>
      </c>
      <c r="I95" s="28" t="n">
        <v>28.94</v>
      </c>
      <c r="J95" s="28" t="n">
        <f aca="false">H95*I95</f>
        <v>57.88</v>
      </c>
      <c r="M95" s="14"/>
      <c r="N95" s="14"/>
    </row>
    <row r="96" customFormat="false" ht="15" hidden="false" customHeight="false" outlineLevel="0" collapsed="false">
      <c r="B96" s="1" t="s">
        <v>294</v>
      </c>
      <c r="F96" s="55" t="s">
        <v>292</v>
      </c>
      <c r="G96" s="56" t="n">
        <v>1</v>
      </c>
      <c r="H96" s="57" t="n">
        <f aca="false">G96*8/$D$91</f>
        <v>2</v>
      </c>
      <c r="I96" s="1" t="n">
        <v>20.51</v>
      </c>
      <c r="J96" s="28" t="n">
        <f aca="false">H96*I96</f>
        <v>41.02</v>
      </c>
      <c r="N96" s="14"/>
    </row>
    <row r="97" customFormat="false" ht="15" hidden="false" customHeight="false" outlineLevel="0" collapsed="false">
      <c r="F97" s="55"/>
      <c r="G97" s="56"/>
      <c r="H97" s="57"/>
      <c r="J97" s="53" t="n">
        <f aca="false">SUM(J94:J96)</f>
        <v>105.846</v>
      </c>
      <c r="M97" s="14"/>
      <c r="N97" s="14"/>
    </row>
    <row r="98" customFormat="false" ht="15" hidden="false" customHeight="false" outlineLevel="0" collapsed="false">
      <c r="B98" s="54" t="s">
        <v>654</v>
      </c>
      <c r="F98" s="55"/>
      <c r="G98" s="56"/>
      <c r="H98" s="28"/>
      <c r="J98" s="28"/>
      <c r="N98" s="14"/>
    </row>
    <row r="99" customFormat="false" ht="15" hidden="false" customHeight="false" outlineLevel="0" collapsed="false">
      <c r="B99" s="1" t="s">
        <v>1032</v>
      </c>
      <c r="F99" s="55" t="s">
        <v>204</v>
      </c>
      <c r="H99" s="28" t="n">
        <v>0.0324</v>
      </c>
      <c r="I99" s="46" t="n">
        <v>88.0374646046613</v>
      </c>
      <c r="J99" s="28" t="n">
        <f aca="false">H99*I99</f>
        <v>2.85241385319103</v>
      </c>
      <c r="M99" s="14"/>
      <c r="N99" s="14"/>
    </row>
    <row r="100" customFormat="false" ht="15" hidden="false" customHeight="false" outlineLevel="0" collapsed="false">
      <c r="B100" s="1" t="s">
        <v>1033</v>
      </c>
      <c r="F100" s="55" t="s">
        <v>204</v>
      </c>
      <c r="H100" s="28" t="n">
        <v>0.3</v>
      </c>
      <c r="I100" s="46" t="n">
        <v>19.2424744064474</v>
      </c>
      <c r="J100" s="28" t="n">
        <f aca="false">H100*I100</f>
        <v>5.77274232193422</v>
      </c>
      <c r="N100" s="14"/>
    </row>
    <row r="101" customFormat="false" ht="15" hidden="false" customHeight="false" outlineLevel="0" collapsed="false">
      <c r="B101" s="1" t="s">
        <v>1034</v>
      </c>
      <c r="F101" s="55" t="s">
        <v>150</v>
      </c>
      <c r="H101" s="28" t="n">
        <v>2</v>
      </c>
      <c r="I101" s="46" t="n">
        <v>20.2507485168107</v>
      </c>
      <c r="J101" s="28" t="n">
        <f aca="false">H101*I101</f>
        <v>40.5014970336213</v>
      </c>
    </row>
    <row r="102" customFormat="false" ht="15" hidden="false" customHeight="false" outlineLevel="0" collapsed="false">
      <c r="F102" s="55"/>
      <c r="H102" s="28"/>
      <c r="I102" s="28"/>
      <c r="J102" s="53" t="n">
        <f aca="false">SUM(J99:J101)</f>
        <v>49.1266532087466</v>
      </c>
    </row>
    <row r="103" customFormat="false" ht="15" hidden="false" customHeight="false" outlineLevel="0" collapsed="false">
      <c r="B103" s="54" t="s">
        <v>310</v>
      </c>
    </row>
    <row r="104" customFormat="false" ht="15" hidden="false" customHeight="false" outlineLevel="0" collapsed="false">
      <c r="B104" s="1" t="s">
        <v>311</v>
      </c>
      <c r="F104" s="55" t="s">
        <v>312</v>
      </c>
      <c r="H104" s="57" t="n">
        <v>3</v>
      </c>
      <c r="I104" s="28" t="n">
        <f aca="false">J97</f>
        <v>105.846</v>
      </c>
      <c r="J104" s="28" t="n">
        <f aca="false">H104%*I104</f>
        <v>3.17538</v>
      </c>
    </row>
    <row r="105" customFormat="false" ht="15" hidden="false" customHeight="false" outlineLevel="0" collapsed="false">
      <c r="A105" s="60"/>
      <c r="B105" s="60"/>
      <c r="C105" s="60"/>
      <c r="D105" s="60"/>
      <c r="E105" s="60"/>
      <c r="F105" s="60"/>
      <c r="G105" s="60"/>
      <c r="H105" s="60"/>
      <c r="I105" s="80"/>
      <c r="J105" s="61" t="n">
        <f aca="false">SUM(J104:J104)</f>
        <v>3.17538</v>
      </c>
    </row>
    <row r="107" customFormat="false" ht="15" hidden="false" customHeight="false" outlineLevel="0" collapsed="false">
      <c r="A107" s="14" t="s">
        <v>278</v>
      </c>
      <c r="B107" s="14" t="str">
        <f aca="false">SANITARIAS!A18</f>
        <v>04.06.01</v>
      </c>
      <c r="C107" s="14" t="s">
        <v>1035</v>
      </c>
      <c r="D107" s="14"/>
    </row>
    <row r="108" customFormat="false" ht="15" hidden="false" customHeight="false" outlineLevel="0" collapsed="false">
      <c r="A108" s="14" t="s">
        <v>279</v>
      </c>
      <c r="B108" s="14" t="s">
        <v>414</v>
      </c>
      <c r="C108" s="36" t="s">
        <v>281</v>
      </c>
      <c r="D108" s="52" t="n">
        <v>4</v>
      </c>
      <c r="E108" s="36" t="s">
        <v>282</v>
      </c>
      <c r="F108" s="52" t="n">
        <f aca="false">D108</f>
        <v>4</v>
      </c>
      <c r="G108" s="14" t="s">
        <v>283</v>
      </c>
      <c r="I108" s="36" t="s">
        <v>215</v>
      </c>
      <c r="J108" s="53" t="n">
        <f aca="false">J114+J121+J124</f>
        <v>138.64528</v>
      </c>
    </row>
    <row r="109" customFormat="false" ht="15" hidden="false" customHeight="false" outlineLevel="0" collapsed="false">
      <c r="A109" s="14" t="s">
        <v>284</v>
      </c>
      <c r="B109" s="14" t="s">
        <v>285</v>
      </c>
      <c r="F109" s="36" t="s">
        <v>123</v>
      </c>
      <c r="G109" s="36" t="s">
        <v>286</v>
      </c>
      <c r="H109" s="36" t="s">
        <v>287</v>
      </c>
      <c r="I109" s="36" t="s">
        <v>288</v>
      </c>
      <c r="J109" s="36" t="s">
        <v>289</v>
      </c>
    </row>
    <row r="110" customFormat="false" ht="15" hidden="false" customHeight="false" outlineLevel="0" collapsed="false">
      <c r="B110" s="54" t="s">
        <v>290</v>
      </c>
    </row>
    <row r="111" customFormat="false" ht="15" hidden="false" customHeight="false" outlineLevel="0" collapsed="false">
      <c r="B111" s="1" t="s">
        <v>651</v>
      </c>
      <c r="F111" s="55" t="s">
        <v>292</v>
      </c>
      <c r="G111" s="56" t="n">
        <v>0.1</v>
      </c>
      <c r="H111" s="57" t="n">
        <f aca="false">G111*8/$D$108</f>
        <v>0.2</v>
      </c>
      <c r="I111" s="28" t="n">
        <v>34.73</v>
      </c>
      <c r="J111" s="28" t="n">
        <f aca="false">H111*I111</f>
        <v>6.946</v>
      </c>
    </row>
    <row r="112" customFormat="false" ht="15" hidden="false" customHeight="false" outlineLevel="0" collapsed="false">
      <c r="B112" s="1" t="s">
        <v>291</v>
      </c>
      <c r="F112" s="55" t="s">
        <v>292</v>
      </c>
      <c r="G112" s="56" t="n">
        <v>1</v>
      </c>
      <c r="H112" s="57" t="n">
        <f aca="false">G112*8/$D$108</f>
        <v>2</v>
      </c>
      <c r="I112" s="28" t="n">
        <v>28.94</v>
      </c>
      <c r="J112" s="28" t="n">
        <f aca="false">H112*I112</f>
        <v>57.88</v>
      </c>
    </row>
    <row r="113" customFormat="false" ht="15" hidden="false" customHeight="false" outlineLevel="0" collapsed="false">
      <c r="B113" s="1" t="s">
        <v>294</v>
      </c>
      <c r="F113" s="55" t="s">
        <v>292</v>
      </c>
      <c r="G113" s="56" t="n">
        <v>1</v>
      </c>
      <c r="H113" s="57" t="n">
        <f aca="false">G113*8/$D$108</f>
        <v>2</v>
      </c>
      <c r="I113" s="1" t="n">
        <v>20.51</v>
      </c>
      <c r="J113" s="28" t="n">
        <f aca="false">H113*I113</f>
        <v>41.02</v>
      </c>
    </row>
    <row r="114" customFormat="false" ht="15" hidden="false" customHeight="false" outlineLevel="0" collapsed="false">
      <c r="F114" s="55"/>
      <c r="G114" s="56"/>
      <c r="H114" s="57"/>
      <c r="J114" s="53" t="n">
        <f aca="false">SUM(J111:J113)</f>
        <v>105.846</v>
      </c>
    </row>
    <row r="115" customFormat="false" ht="15" hidden="false" customHeight="false" outlineLevel="0" collapsed="false">
      <c r="B115" s="54" t="s">
        <v>654</v>
      </c>
      <c r="F115" s="55"/>
      <c r="G115" s="56"/>
      <c r="H115" s="57"/>
      <c r="J115" s="28"/>
    </row>
    <row r="116" customFormat="false" ht="15" hidden="false" customHeight="false" outlineLevel="0" collapsed="false">
      <c r="B116" s="1" t="s">
        <v>1022</v>
      </c>
      <c r="F116" s="55" t="s">
        <v>440</v>
      </c>
      <c r="H116" s="1" t="n">
        <v>0.03</v>
      </c>
      <c r="I116" s="1" t="n">
        <v>189.66</v>
      </c>
      <c r="J116" s="28" t="n">
        <f aca="false">H116*I116</f>
        <v>5.6898</v>
      </c>
    </row>
    <row r="117" customFormat="false" ht="15" hidden="false" customHeight="false" outlineLevel="0" collapsed="false">
      <c r="B117" s="1" t="s">
        <v>1036</v>
      </c>
      <c r="F117" s="55" t="s">
        <v>331</v>
      </c>
      <c r="H117" s="1" t="n">
        <v>0.35</v>
      </c>
      <c r="I117" s="1" t="n">
        <v>16.53</v>
      </c>
      <c r="J117" s="28" t="n">
        <f aca="false">H117*I117</f>
        <v>5.7855</v>
      </c>
    </row>
    <row r="118" customFormat="false" ht="15" hidden="false" customHeight="false" outlineLevel="0" collapsed="false">
      <c r="B118" s="1" t="s">
        <v>1037</v>
      </c>
      <c r="F118" s="55" t="s">
        <v>331</v>
      </c>
      <c r="H118" s="57" t="n">
        <v>1.03</v>
      </c>
      <c r="I118" s="28" t="n">
        <v>1.44</v>
      </c>
      <c r="J118" s="28" t="n">
        <f aca="false">H118*I118</f>
        <v>1.4832</v>
      </c>
    </row>
    <row r="119" customFormat="false" ht="15" hidden="false" customHeight="false" outlineLevel="0" collapsed="false">
      <c r="B119" s="1" t="s">
        <v>1038</v>
      </c>
      <c r="F119" s="55" t="s">
        <v>331</v>
      </c>
      <c r="H119" s="57" t="n">
        <v>1.03</v>
      </c>
      <c r="I119" s="28" t="n">
        <v>3.47</v>
      </c>
      <c r="J119" s="28" t="n">
        <f aca="false">H119*I119</f>
        <v>3.5741</v>
      </c>
    </row>
    <row r="120" customFormat="false" ht="15" hidden="false" customHeight="false" outlineLevel="0" collapsed="false">
      <c r="B120" s="1" t="s">
        <v>1039</v>
      </c>
      <c r="F120" s="55" t="s">
        <v>331</v>
      </c>
      <c r="H120" s="1" t="n">
        <v>1.03</v>
      </c>
      <c r="I120" s="1" t="n">
        <v>12.71</v>
      </c>
      <c r="J120" s="28" t="n">
        <f aca="false">H120*I120</f>
        <v>13.0913</v>
      </c>
    </row>
    <row r="121" customFormat="false" ht="15" hidden="false" customHeight="false" outlineLevel="0" collapsed="false">
      <c r="F121" s="55"/>
      <c r="H121" s="57"/>
      <c r="I121" s="28"/>
      <c r="J121" s="53" t="n">
        <f aca="false">SUM(J116:J120)</f>
        <v>29.6239</v>
      </c>
    </row>
    <row r="122" customFormat="false" ht="15" hidden="false" customHeight="false" outlineLevel="0" collapsed="false">
      <c r="B122" s="54" t="s">
        <v>310</v>
      </c>
    </row>
    <row r="123" customFormat="false" ht="15" hidden="false" customHeight="false" outlineLevel="0" collapsed="false">
      <c r="B123" s="1" t="s">
        <v>311</v>
      </c>
      <c r="F123" s="55" t="s">
        <v>312</v>
      </c>
      <c r="H123" s="57" t="n">
        <v>3</v>
      </c>
      <c r="I123" s="28" t="n">
        <f aca="false">J114</f>
        <v>105.846</v>
      </c>
      <c r="J123" s="28" t="n">
        <f aca="false">H123%*I123</f>
        <v>3.17538</v>
      </c>
    </row>
    <row r="124" customFormat="false" ht="15" hidden="false" customHeight="false" outlineLevel="0" collapsed="false">
      <c r="A124" s="60"/>
      <c r="B124" s="60"/>
      <c r="C124" s="60"/>
      <c r="D124" s="60"/>
      <c r="E124" s="60"/>
      <c r="F124" s="60"/>
      <c r="G124" s="60"/>
      <c r="H124" s="60"/>
      <c r="I124" s="80"/>
      <c r="J124" s="61" t="n">
        <f aca="false">SUM(J123)</f>
        <v>3.17538</v>
      </c>
    </row>
    <row r="125" customFormat="false" ht="15" hidden="false" customHeight="false" outlineLevel="0" collapsed="false">
      <c r="A125" s="14"/>
      <c r="B125" s="14"/>
      <c r="C125" s="36"/>
      <c r="D125" s="52"/>
      <c r="E125" s="36"/>
      <c r="F125" s="52"/>
      <c r="G125" s="14"/>
      <c r="I125" s="36"/>
      <c r="J125" s="53"/>
    </row>
    <row r="126" customFormat="false" ht="15" hidden="false" customHeight="false" outlineLevel="0" collapsed="false">
      <c r="A126" s="14" t="s">
        <v>278</v>
      </c>
      <c r="B126" s="14" t="str">
        <f aca="false">SANITARIAS!A19</f>
        <v>04.06.02</v>
      </c>
      <c r="C126" s="14" t="s">
        <v>1040</v>
      </c>
      <c r="D126" s="14"/>
    </row>
    <row r="127" customFormat="false" ht="15" hidden="false" customHeight="false" outlineLevel="0" collapsed="false">
      <c r="A127" s="14" t="s">
        <v>279</v>
      </c>
      <c r="B127" s="14" t="s">
        <v>414</v>
      </c>
      <c r="C127" s="36" t="s">
        <v>281</v>
      </c>
      <c r="D127" s="52" t="n">
        <v>4</v>
      </c>
      <c r="E127" s="36" t="s">
        <v>282</v>
      </c>
      <c r="F127" s="52" t="n">
        <f aca="false">D127</f>
        <v>4</v>
      </c>
      <c r="G127" s="14" t="s">
        <v>283</v>
      </c>
      <c r="I127" s="36" t="s">
        <v>215</v>
      </c>
      <c r="J127" s="53" t="n">
        <f aca="false">J133+J139+J142</f>
        <v>145.93578</v>
      </c>
    </row>
    <row r="128" customFormat="false" ht="15" hidden="false" customHeight="false" outlineLevel="0" collapsed="false">
      <c r="A128" s="14" t="s">
        <v>284</v>
      </c>
      <c r="B128" s="14" t="s">
        <v>285</v>
      </c>
      <c r="F128" s="36" t="s">
        <v>123</v>
      </c>
      <c r="G128" s="36" t="s">
        <v>286</v>
      </c>
      <c r="H128" s="36" t="s">
        <v>287</v>
      </c>
      <c r="I128" s="36" t="s">
        <v>288</v>
      </c>
      <c r="J128" s="36" t="s">
        <v>289</v>
      </c>
    </row>
    <row r="129" customFormat="false" ht="15" hidden="false" customHeight="false" outlineLevel="0" collapsed="false">
      <c r="B129" s="54" t="s">
        <v>290</v>
      </c>
    </row>
    <row r="130" customFormat="false" ht="15" hidden="false" customHeight="false" outlineLevel="0" collapsed="false">
      <c r="B130" s="1" t="s">
        <v>651</v>
      </c>
      <c r="F130" s="55" t="s">
        <v>292</v>
      </c>
      <c r="G130" s="56" t="n">
        <v>0.1</v>
      </c>
      <c r="H130" s="57" t="n">
        <f aca="false">G130*8/$D$127</f>
        <v>0.2</v>
      </c>
      <c r="I130" s="28" t="n">
        <v>34.73</v>
      </c>
      <c r="J130" s="28" t="n">
        <f aca="false">H130*I130</f>
        <v>6.946</v>
      </c>
    </row>
    <row r="131" customFormat="false" ht="15" hidden="false" customHeight="false" outlineLevel="0" collapsed="false">
      <c r="B131" s="1" t="s">
        <v>291</v>
      </c>
      <c r="F131" s="55" t="s">
        <v>292</v>
      </c>
      <c r="G131" s="56" t="n">
        <v>1</v>
      </c>
      <c r="H131" s="57" t="n">
        <f aca="false">G131*8/$D$127</f>
        <v>2</v>
      </c>
      <c r="I131" s="28" t="n">
        <v>28.94</v>
      </c>
      <c r="J131" s="28" t="n">
        <f aca="false">H131*I131</f>
        <v>57.88</v>
      </c>
    </row>
    <row r="132" customFormat="false" ht="15" hidden="false" customHeight="false" outlineLevel="0" collapsed="false">
      <c r="B132" s="1" t="s">
        <v>294</v>
      </c>
      <c r="F132" s="55" t="s">
        <v>292</v>
      </c>
      <c r="G132" s="56" t="n">
        <v>1</v>
      </c>
      <c r="H132" s="57" t="n">
        <f aca="false">G132*8/$D$127</f>
        <v>2</v>
      </c>
      <c r="I132" s="1" t="n">
        <v>20.51</v>
      </c>
      <c r="J132" s="28" t="n">
        <f aca="false">H132*I132</f>
        <v>41.02</v>
      </c>
    </row>
    <row r="133" customFormat="false" ht="15" hidden="false" customHeight="false" outlineLevel="0" collapsed="false">
      <c r="F133" s="55"/>
      <c r="G133" s="56"/>
      <c r="H133" s="57"/>
      <c r="J133" s="53" t="n">
        <f aca="false">SUM(J130:J132)</f>
        <v>105.846</v>
      </c>
    </row>
    <row r="134" customFormat="false" ht="15" hidden="false" customHeight="false" outlineLevel="0" collapsed="false">
      <c r="B134" s="54" t="s">
        <v>654</v>
      </c>
      <c r="F134" s="55"/>
      <c r="G134" s="56"/>
      <c r="H134" s="57"/>
      <c r="J134" s="28"/>
    </row>
    <row r="135" customFormat="false" ht="15" hidden="false" customHeight="false" outlineLevel="0" collapsed="false">
      <c r="B135" s="1" t="s">
        <v>1022</v>
      </c>
      <c r="F135" s="55" t="s">
        <v>440</v>
      </c>
      <c r="H135" s="1" t="n">
        <v>0.03</v>
      </c>
      <c r="I135" s="1" t="n">
        <v>189.66</v>
      </c>
      <c r="J135" s="28" t="n">
        <f aca="false">H135*I135</f>
        <v>5.6898</v>
      </c>
    </row>
    <row r="136" customFormat="false" ht="15" hidden="false" customHeight="false" outlineLevel="0" collapsed="false">
      <c r="B136" s="1" t="s">
        <v>1041</v>
      </c>
      <c r="F136" s="55" t="s">
        <v>331</v>
      </c>
      <c r="H136" s="1" t="n">
        <v>0.35</v>
      </c>
      <c r="I136" s="1" t="n">
        <v>29.12</v>
      </c>
      <c r="J136" s="28" t="n">
        <f aca="false">H136*I136</f>
        <v>10.192</v>
      </c>
    </row>
    <row r="137" customFormat="false" ht="15" hidden="false" customHeight="false" outlineLevel="0" collapsed="false">
      <c r="B137" s="1" t="s">
        <v>1042</v>
      </c>
      <c r="F137" s="55" t="s">
        <v>331</v>
      </c>
      <c r="H137" s="57" t="n">
        <v>1.03</v>
      </c>
      <c r="I137" s="28" t="n">
        <v>5.93</v>
      </c>
      <c r="J137" s="28" t="n">
        <f aca="false">H137*I137</f>
        <v>6.1079</v>
      </c>
    </row>
    <row r="138" customFormat="false" ht="15" hidden="false" customHeight="false" outlineLevel="0" collapsed="false">
      <c r="B138" s="1" t="s">
        <v>1043</v>
      </c>
      <c r="F138" s="55" t="s">
        <v>331</v>
      </c>
      <c r="H138" s="57" t="n">
        <v>1.03</v>
      </c>
      <c r="I138" s="28" t="n">
        <v>14.49</v>
      </c>
      <c r="J138" s="28" t="n">
        <f aca="false">H138*I138</f>
        <v>14.9247</v>
      </c>
    </row>
    <row r="139" customFormat="false" ht="15" hidden="false" customHeight="false" outlineLevel="0" collapsed="false">
      <c r="F139" s="55"/>
      <c r="H139" s="57"/>
      <c r="I139" s="28"/>
      <c r="J139" s="53" t="n">
        <f aca="false">SUM(J135:J138)</f>
        <v>36.9144</v>
      </c>
    </row>
    <row r="140" customFormat="false" ht="15" hidden="false" customHeight="false" outlineLevel="0" collapsed="false">
      <c r="B140" s="54" t="s">
        <v>310</v>
      </c>
    </row>
    <row r="141" customFormat="false" ht="15" hidden="false" customHeight="false" outlineLevel="0" collapsed="false">
      <c r="B141" s="1" t="s">
        <v>311</v>
      </c>
      <c r="F141" s="55" t="s">
        <v>312</v>
      </c>
      <c r="H141" s="57" t="n">
        <v>3</v>
      </c>
      <c r="I141" s="28" t="n">
        <f aca="false">J133</f>
        <v>105.846</v>
      </c>
      <c r="J141" s="28" t="n">
        <f aca="false">H141%*I141</f>
        <v>3.17538</v>
      </c>
    </row>
    <row r="142" customFormat="false" ht="15" hidden="false" customHeight="false" outlineLevel="0" collapsed="false">
      <c r="A142" s="60"/>
      <c r="B142" s="60"/>
      <c r="C142" s="60"/>
      <c r="D142" s="60"/>
      <c r="E142" s="60"/>
      <c r="F142" s="60"/>
      <c r="G142" s="60"/>
      <c r="H142" s="60"/>
      <c r="I142" s="80"/>
      <c r="J142" s="61" t="n">
        <f aca="false">SUM(J141)</f>
        <v>3.17538</v>
      </c>
    </row>
    <row r="144" customFormat="false" ht="15" hidden="false" customHeight="false" outlineLevel="0" collapsed="false">
      <c r="A144" s="14" t="s">
        <v>278</v>
      </c>
      <c r="B144" s="14" t="str">
        <f aca="false">SANITARIAS!A21</f>
        <v>04.07.01</v>
      </c>
      <c r="C144" s="14" t="s">
        <v>1044</v>
      </c>
      <c r="D144" s="14"/>
    </row>
    <row r="145" customFormat="false" ht="15" hidden="false" customHeight="false" outlineLevel="0" collapsed="false">
      <c r="A145" s="14" t="s">
        <v>279</v>
      </c>
      <c r="B145" s="14" t="s">
        <v>414</v>
      </c>
      <c r="C145" s="36" t="s">
        <v>281</v>
      </c>
      <c r="D145" s="52" t="n">
        <v>4</v>
      </c>
      <c r="E145" s="36" t="s">
        <v>282</v>
      </c>
      <c r="F145" s="52" t="n">
        <f aca="false">D145</f>
        <v>4</v>
      </c>
      <c r="G145" s="14" t="s">
        <v>283</v>
      </c>
      <c r="I145" s="36" t="s">
        <v>215</v>
      </c>
      <c r="J145" s="53" t="n">
        <f aca="false">J151+J157+J160</f>
        <v>141.07118</v>
      </c>
    </row>
    <row r="146" customFormat="false" ht="15" hidden="false" customHeight="false" outlineLevel="0" collapsed="false">
      <c r="A146" s="14" t="s">
        <v>284</v>
      </c>
      <c r="B146" s="14" t="s">
        <v>285</v>
      </c>
      <c r="F146" s="36" t="s">
        <v>123</v>
      </c>
      <c r="G146" s="36" t="s">
        <v>286</v>
      </c>
      <c r="H146" s="36" t="s">
        <v>287</v>
      </c>
      <c r="I146" s="36" t="s">
        <v>288</v>
      </c>
      <c r="J146" s="36" t="s">
        <v>289</v>
      </c>
    </row>
    <row r="147" customFormat="false" ht="15" hidden="false" customHeight="false" outlineLevel="0" collapsed="false">
      <c r="B147" s="54" t="s">
        <v>290</v>
      </c>
    </row>
    <row r="148" customFormat="false" ht="15" hidden="false" customHeight="false" outlineLevel="0" collapsed="false">
      <c r="B148" s="1" t="s">
        <v>651</v>
      </c>
      <c r="F148" s="55" t="s">
        <v>292</v>
      </c>
      <c r="G148" s="56" t="n">
        <v>0.1</v>
      </c>
      <c r="H148" s="57" t="n">
        <f aca="false">G148*8/$D$145</f>
        <v>0.2</v>
      </c>
      <c r="I148" s="28" t="n">
        <v>34.73</v>
      </c>
      <c r="J148" s="28" t="n">
        <f aca="false">H148*I148</f>
        <v>6.946</v>
      </c>
    </row>
    <row r="149" customFormat="false" ht="15" hidden="false" customHeight="false" outlineLevel="0" collapsed="false">
      <c r="B149" s="1" t="s">
        <v>291</v>
      </c>
      <c r="F149" s="55" t="s">
        <v>292</v>
      </c>
      <c r="G149" s="56" t="n">
        <v>1</v>
      </c>
      <c r="H149" s="57" t="n">
        <f aca="false">G149*8/$D$145</f>
        <v>2</v>
      </c>
      <c r="I149" s="28" t="n">
        <v>28.94</v>
      </c>
      <c r="J149" s="28" t="n">
        <f aca="false">H149*I149</f>
        <v>57.88</v>
      </c>
    </row>
    <row r="150" customFormat="false" ht="15" hidden="false" customHeight="false" outlineLevel="0" collapsed="false">
      <c r="B150" s="1" t="s">
        <v>294</v>
      </c>
      <c r="F150" s="55" t="s">
        <v>292</v>
      </c>
      <c r="G150" s="56" t="n">
        <v>1</v>
      </c>
      <c r="H150" s="57" t="n">
        <f aca="false">G150*8/$D$145</f>
        <v>2</v>
      </c>
      <c r="I150" s="1" t="n">
        <v>20.51</v>
      </c>
      <c r="J150" s="28" t="n">
        <f aca="false">H150*I150</f>
        <v>41.02</v>
      </c>
    </row>
    <row r="151" customFormat="false" ht="15" hidden="false" customHeight="false" outlineLevel="0" collapsed="false">
      <c r="F151" s="55"/>
      <c r="G151" s="56"/>
      <c r="H151" s="57"/>
      <c r="J151" s="53" t="n">
        <f aca="false">SUM(J148:J150)</f>
        <v>105.846</v>
      </c>
    </row>
    <row r="152" customFormat="false" ht="15" hidden="false" customHeight="false" outlineLevel="0" collapsed="false">
      <c r="B152" s="54" t="s">
        <v>654</v>
      </c>
      <c r="F152" s="55"/>
      <c r="G152" s="56"/>
      <c r="H152" s="57"/>
      <c r="J152" s="28"/>
    </row>
    <row r="153" customFormat="false" ht="15" hidden="false" customHeight="false" outlineLevel="0" collapsed="false">
      <c r="B153" s="1" t="s">
        <v>1022</v>
      </c>
      <c r="F153" s="55" t="s">
        <v>440</v>
      </c>
      <c r="H153" s="57" t="n">
        <v>0.03</v>
      </c>
      <c r="I153" s="1" t="n">
        <v>189.66</v>
      </c>
      <c r="J153" s="28" t="n">
        <f aca="false">H153*I153</f>
        <v>5.6898</v>
      </c>
    </row>
    <row r="154" customFormat="false" ht="15" hidden="false" customHeight="false" outlineLevel="0" collapsed="false">
      <c r="B154" s="1" t="s">
        <v>1036</v>
      </c>
      <c r="F154" s="55" t="s">
        <v>331</v>
      </c>
      <c r="H154" s="57" t="n">
        <v>1</v>
      </c>
      <c r="I154" s="1" t="n">
        <v>16.53</v>
      </c>
      <c r="J154" s="28" t="n">
        <f aca="false">H154*I154</f>
        <v>16.53</v>
      </c>
    </row>
    <row r="155" customFormat="false" ht="15" hidden="false" customHeight="false" outlineLevel="0" collapsed="false">
      <c r="B155" s="1" t="s">
        <v>1037</v>
      </c>
      <c r="F155" s="55" t="s">
        <v>331</v>
      </c>
      <c r="H155" s="57" t="n">
        <v>1</v>
      </c>
      <c r="I155" s="28" t="n">
        <v>1.44</v>
      </c>
      <c r="J155" s="28" t="n">
        <f aca="false">H155*I155</f>
        <v>1.44</v>
      </c>
    </row>
    <row r="156" customFormat="false" ht="15" hidden="false" customHeight="false" outlineLevel="0" collapsed="false">
      <c r="B156" s="1" t="s">
        <v>1045</v>
      </c>
      <c r="F156" s="55" t="s">
        <v>331</v>
      </c>
      <c r="H156" s="57" t="n">
        <v>1</v>
      </c>
      <c r="I156" s="28" t="n">
        <v>8.39</v>
      </c>
      <c r="J156" s="28" t="n">
        <f aca="false">H156*I156</f>
        <v>8.39</v>
      </c>
    </row>
    <row r="157" customFormat="false" ht="15" hidden="false" customHeight="false" outlineLevel="0" collapsed="false">
      <c r="F157" s="55"/>
      <c r="H157" s="57"/>
      <c r="I157" s="28"/>
      <c r="J157" s="53" t="n">
        <f aca="false">SUM(J153:J156)</f>
        <v>32.0498</v>
      </c>
    </row>
    <row r="158" customFormat="false" ht="15" hidden="false" customHeight="false" outlineLevel="0" collapsed="false">
      <c r="B158" s="54" t="s">
        <v>310</v>
      </c>
    </row>
    <row r="159" customFormat="false" ht="15" hidden="false" customHeight="false" outlineLevel="0" collapsed="false">
      <c r="B159" s="1" t="s">
        <v>311</v>
      </c>
      <c r="F159" s="55" t="s">
        <v>312</v>
      </c>
      <c r="H159" s="57" t="n">
        <v>3</v>
      </c>
      <c r="I159" s="28" t="n">
        <f aca="false">J151</f>
        <v>105.846</v>
      </c>
      <c r="J159" s="28" t="n">
        <f aca="false">H159%*I159</f>
        <v>3.17538</v>
      </c>
    </row>
    <row r="160" customFormat="false" ht="15" hidden="false" customHeight="false" outlineLevel="0" collapsed="false">
      <c r="A160" s="60"/>
      <c r="B160" s="60"/>
      <c r="C160" s="60"/>
      <c r="D160" s="60"/>
      <c r="E160" s="60"/>
      <c r="F160" s="60"/>
      <c r="G160" s="60"/>
      <c r="H160" s="60"/>
      <c r="I160" s="80"/>
      <c r="J160" s="61" t="n">
        <f aca="false">SUM(J159)</f>
        <v>3.17538</v>
      </c>
    </row>
    <row r="162" customFormat="false" ht="15" hidden="false" customHeight="false" outlineLevel="0" collapsed="false">
      <c r="A162" s="14" t="s">
        <v>278</v>
      </c>
      <c r="B162" s="14" t="str">
        <f aca="false">SANITARIAS!A23</f>
        <v>04.08.01</v>
      </c>
      <c r="C162" s="14" t="s">
        <v>1013</v>
      </c>
      <c r="D162" s="14"/>
    </row>
    <row r="163" customFormat="false" ht="15" hidden="false" customHeight="false" outlineLevel="0" collapsed="false">
      <c r="A163" s="14" t="s">
        <v>279</v>
      </c>
      <c r="B163" s="14" t="s">
        <v>326</v>
      </c>
      <c r="C163" s="36" t="s">
        <v>281</v>
      </c>
      <c r="D163" s="52" t="n">
        <v>6</v>
      </c>
      <c r="E163" s="36" t="s">
        <v>282</v>
      </c>
      <c r="F163" s="52" t="n">
        <f aca="false">D163</f>
        <v>6</v>
      </c>
      <c r="G163" s="14" t="s">
        <v>283</v>
      </c>
      <c r="I163" s="36" t="s">
        <v>150</v>
      </c>
      <c r="J163" s="53" t="n">
        <f aca="false">J169+J172+J175</f>
        <v>214.33092</v>
      </c>
    </row>
    <row r="164" customFormat="false" ht="15" hidden="false" customHeight="false" outlineLevel="0" collapsed="false">
      <c r="A164" s="14" t="s">
        <v>284</v>
      </c>
      <c r="B164" s="14" t="s">
        <v>285</v>
      </c>
      <c r="F164" s="36" t="s">
        <v>123</v>
      </c>
      <c r="G164" s="36" t="s">
        <v>286</v>
      </c>
      <c r="H164" s="36" t="s">
        <v>287</v>
      </c>
      <c r="I164" s="36" t="s">
        <v>288</v>
      </c>
      <c r="J164" s="36" t="s">
        <v>289</v>
      </c>
    </row>
    <row r="165" customFormat="false" ht="15" hidden="false" customHeight="false" outlineLevel="0" collapsed="false">
      <c r="B165" s="54" t="s">
        <v>290</v>
      </c>
    </row>
    <row r="166" customFormat="false" ht="15" hidden="false" customHeight="false" outlineLevel="0" collapsed="false">
      <c r="B166" s="1" t="s">
        <v>651</v>
      </c>
      <c r="F166" s="55" t="s">
        <v>292</v>
      </c>
      <c r="G166" s="56" t="n">
        <v>0.1</v>
      </c>
      <c r="H166" s="57" t="n">
        <f aca="false">G166*8/$D$163</f>
        <v>0.133333333333333</v>
      </c>
      <c r="I166" s="28" t="n">
        <v>34.73</v>
      </c>
      <c r="J166" s="28" t="n">
        <f aca="false">H166*I166</f>
        <v>4.63066666666667</v>
      </c>
    </row>
    <row r="167" customFormat="false" ht="15" hidden="false" customHeight="false" outlineLevel="0" collapsed="false">
      <c r="B167" s="1" t="s">
        <v>291</v>
      </c>
      <c r="F167" s="55" t="s">
        <v>292</v>
      </c>
      <c r="G167" s="56" t="n">
        <v>1</v>
      </c>
      <c r="H167" s="57" t="n">
        <f aca="false">G167*8/$D$163</f>
        <v>1.33333333333333</v>
      </c>
      <c r="I167" s="28" t="n">
        <v>28.94</v>
      </c>
      <c r="J167" s="28" t="n">
        <f aca="false">H167*I167</f>
        <v>38.5866666666667</v>
      </c>
    </row>
    <row r="168" customFormat="false" ht="15" hidden="false" customHeight="false" outlineLevel="0" collapsed="false">
      <c r="B168" s="1" t="s">
        <v>294</v>
      </c>
      <c r="F168" s="55" t="s">
        <v>292</v>
      </c>
      <c r="G168" s="56" t="n">
        <v>1</v>
      </c>
      <c r="H168" s="57" t="n">
        <f aca="false">G168*8/$D$163</f>
        <v>1.33333333333333</v>
      </c>
      <c r="I168" s="1" t="n">
        <v>20.51</v>
      </c>
      <c r="J168" s="28" t="n">
        <f aca="false">H168*I168</f>
        <v>27.3466666666667</v>
      </c>
    </row>
    <row r="169" customFormat="false" ht="15" hidden="false" customHeight="false" outlineLevel="0" collapsed="false">
      <c r="F169" s="55"/>
      <c r="G169" s="56"/>
      <c r="H169" s="57"/>
      <c r="J169" s="53" t="n">
        <f aca="false">SUM(J166:J168)</f>
        <v>70.564</v>
      </c>
    </row>
    <row r="170" customFormat="false" ht="15" hidden="false" customHeight="false" outlineLevel="0" collapsed="false">
      <c r="B170" s="54" t="s">
        <v>654</v>
      </c>
      <c r="F170" s="55"/>
      <c r="G170" s="56"/>
      <c r="H170" s="28"/>
      <c r="J170" s="28"/>
    </row>
    <row r="171" customFormat="false" ht="15" hidden="false" customHeight="false" outlineLevel="0" collapsed="false">
      <c r="B171" s="1" t="s">
        <v>1046</v>
      </c>
      <c r="F171" s="55" t="s">
        <v>150</v>
      </c>
      <c r="H171" s="28" t="n">
        <v>1</v>
      </c>
      <c r="I171" s="46" t="n">
        <v>141.65</v>
      </c>
      <c r="J171" s="28" t="n">
        <f aca="false">H171*I171</f>
        <v>141.65</v>
      </c>
    </row>
    <row r="172" customFormat="false" ht="15" hidden="false" customHeight="false" outlineLevel="0" collapsed="false">
      <c r="F172" s="55"/>
      <c r="H172" s="28"/>
      <c r="I172" s="28"/>
      <c r="J172" s="53" t="n">
        <f aca="false">SUM(J171:J171)</f>
        <v>141.65</v>
      </c>
    </row>
    <row r="173" customFormat="false" ht="15" hidden="false" customHeight="false" outlineLevel="0" collapsed="false">
      <c r="B173" s="54" t="s">
        <v>310</v>
      </c>
    </row>
    <row r="174" customFormat="false" ht="15" hidden="false" customHeight="false" outlineLevel="0" collapsed="false">
      <c r="B174" s="1" t="s">
        <v>311</v>
      </c>
      <c r="F174" s="55" t="s">
        <v>312</v>
      </c>
      <c r="H174" s="57" t="n">
        <v>3</v>
      </c>
      <c r="I174" s="28" t="n">
        <f aca="false">J169</f>
        <v>70.564</v>
      </c>
      <c r="J174" s="28" t="n">
        <f aca="false">H174%*I174</f>
        <v>2.11692</v>
      </c>
    </row>
    <row r="175" customFormat="false" ht="15" hidden="false" customHeight="false" outlineLevel="0" collapsed="false">
      <c r="A175" s="60"/>
      <c r="B175" s="60"/>
      <c r="C175" s="60"/>
      <c r="D175" s="60"/>
      <c r="E175" s="60"/>
      <c r="F175" s="60"/>
      <c r="G175" s="60"/>
      <c r="H175" s="60"/>
      <c r="I175" s="80"/>
      <c r="J175" s="61" t="n">
        <f aca="false">SUM(J174:J174)</f>
        <v>2.11692</v>
      </c>
    </row>
    <row r="177" customFormat="false" ht="15" hidden="false" customHeight="false" outlineLevel="0" collapsed="false">
      <c r="A177" s="14" t="s">
        <v>278</v>
      </c>
      <c r="B177" s="14" t="str">
        <f aca="false">SANITARIAS!A24</f>
        <v>04.08.02</v>
      </c>
      <c r="C177" s="14" t="s">
        <v>1015</v>
      </c>
      <c r="D177" s="14"/>
    </row>
    <row r="178" customFormat="false" ht="15" hidden="false" customHeight="false" outlineLevel="0" collapsed="false">
      <c r="A178" s="14" t="s">
        <v>279</v>
      </c>
      <c r="B178" s="14" t="s">
        <v>326</v>
      </c>
      <c r="C178" s="36" t="s">
        <v>281</v>
      </c>
      <c r="D178" s="52" t="n">
        <v>8</v>
      </c>
      <c r="E178" s="36" t="s">
        <v>282</v>
      </c>
      <c r="F178" s="52" t="n">
        <f aca="false">D178</f>
        <v>8</v>
      </c>
      <c r="G178" s="14" t="s">
        <v>283</v>
      </c>
      <c r="I178" s="36" t="s">
        <v>150</v>
      </c>
      <c r="J178" s="53" t="n">
        <f aca="false">J184+J189+J192</f>
        <v>101.513743136387</v>
      </c>
    </row>
    <row r="179" customFormat="false" ht="15" hidden="false" customHeight="false" outlineLevel="0" collapsed="false">
      <c r="A179" s="14" t="s">
        <v>284</v>
      </c>
      <c r="B179" s="14" t="s">
        <v>285</v>
      </c>
      <c r="F179" s="36" t="s">
        <v>123</v>
      </c>
      <c r="G179" s="36" t="s">
        <v>286</v>
      </c>
      <c r="H179" s="36" t="s">
        <v>287</v>
      </c>
      <c r="I179" s="36" t="s">
        <v>288</v>
      </c>
      <c r="J179" s="36" t="s">
        <v>289</v>
      </c>
    </row>
    <row r="180" customFormat="false" ht="15" hidden="false" customHeight="false" outlineLevel="0" collapsed="false">
      <c r="B180" s="54" t="s">
        <v>290</v>
      </c>
    </row>
    <row r="181" customFormat="false" ht="15" hidden="false" customHeight="false" outlineLevel="0" collapsed="false">
      <c r="B181" s="1" t="s">
        <v>651</v>
      </c>
      <c r="F181" s="55" t="s">
        <v>292</v>
      </c>
      <c r="G181" s="56" t="n">
        <v>0.1</v>
      </c>
      <c r="H181" s="57" t="n">
        <f aca="false">G181*8/$D$178</f>
        <v>0.1</v>
      </c>
      <c r="I181" s="28" t="n">
        <v>34.73</v>
      </c>
      <c r="J181" s="28" t="n">
        <f aca="false">H181*I181</f>
        <v>3.473</v>
      </c>
    </row>
    <row r="182" customFormat="false" ht="15" hidden="false" customHeight="false" outlineLevel="0" collapsed="false">
      <c r="B182" s="1" t="s">
        <v>291</v>
      </c>
      <c r="F182" s="55" t="s">
        <v>292</v>
      </c>
      <c r="G182" s="56" t="n">
        <v>1</v>
      </c>
      <c r="H182" s="57" t="n">
        <f aca="false">G182*8/$D$178</f>
        <v>1</v>
      </c>
      <c r="I182" s="28" t="n">
        <v>28.94</v>
      </c>
      <c r="J182" s="28" t="n">
        <f aca="false">H182*I182</f>
        <v>28.94</v>
      </c>
    </row>
    <row r="183" customFormat="false" ht="15" hidden="false" customHeight="false" outlineLevel="0" collapsed="false">
      <c r="B183" s="1" t="s">
        <v>294</v>
      </c>
      <c r="F183" s="55" t="s">
        <v>292</v>
      </c>
      <c r="G183" s="56" t="n">
        <v>1</v>
      </c>
      <c r="H183" s="57" t="n">
        <f aca="false">G183*8/$D$178</f>
        <v>1</v>
      </c>
      <c r="I183" s="1" t="n">
        <v>20.51</v>
      </c>
      <c r="J183" s="28" t="n">
        <f aca="false">H183*I183</f>
        <v>20.51</v>
      </c>
    </row>
    <row r="184" customFormat="false" ht="15" hidden="false" customHeight="false" outlineLevel="0" collapsed="false">
      <c r="F184" s="55"/>
      <c r="G184" s="56"/>
      <c r="H184" s="57"/>
      <c r="J184" s="53" t="n">
        <f aca="false">SUM(J181:J183)</f>
        <v>52.923</v>
      </c>
    </row>
    <row r="185" customFormat="false" ht="15" hidden="false" customHeight="false" outlineLevel="0" collapsed="false">
      <c r="B185" s="54" t="s">
        <v>654</v>
      </c>
      <c r="F185" s="55"/>
      <c r="G185" s="56"/>
      <c r="H185" s="28"/>
      <c r="J185" s="28"/>
    </row>
    <row r="186" customFormat="false" ht="15" hidden="false" customHeight="false" outlineLevel="0" collapsed="false">
      <c r="B186" s="1" t="s">
        <v>1046</v>
      </c>
      <c r="F186" s="55" t="s">
        <v>150</v>
      </c>
      <c r="H186" s="28" t="n">
        <v>1</v>
      </c>
      <c r="I186" s="46" t="n">
        <v>18.0125078912685</v>
      </c>
      <c r="J186" s="28" t="n">
        <f aca="false">H186*I186</f>
        <v>18.0125078912685</v>
      </c>
    </row>
    <row r="187" customFormat="false" ht="15" hidden="false" customHeight="false" outlineLevel="0" collapsed="false">
      <c r="B187" s="1" t="s">
        <v>1047</v>
      </c>
      <c r="F187" s="55" t="s">
        <v>308</v>
      </c>
      <c r="H187" s="28" t="n">
        <v>1</v>
      </c>
      <c r="I187" s="46" t="n">
        <v>23.76798378552</v>
      </c>
      <c r="J187" s="28" t="n">
        <f aca="false">H187*I187</f>
        <v>23.76798378552</v>
      </c>
    </row>
    <row r="188" customFormat="false" ht="15" hidden="false" customHeight="false" outlineLevel="0" collapsed="false">
      <c r="B188" s="1" t="s">
        <v>916</v>
      </c>
      <c r="F188" s="55" t="s">
        <v>297</v>
      </c>
      <c r="H188" s="28" t="n">
        <v>1</v>
      </c>
      <c r="I188" s="46" t="n">
        <v>5.22256145959856</v>
      </c>
      <c r="J188" s="28" t="n">
        <f aca="false">H188*I188</f>
        <v>5.22256145959856</v>
      </c>
    </row>
    <row r="189" customFormat="false" ht="15" hidden="false" customHeight="false" outlineLevel="0" collapsed="false">
      <c r="F189" s="55"/>
      <c r="H189" s="28"/>
      <c r="I189" s="28"/>
      <c r="J189" s="53" t="n">
        <f aca="false">SUM(J186:J188)</f>
        <v>47.003053136387</v>
      </c>
    </row>
    <row r="190" customFormat="false" ht="15" hidden="false" customHeight="false" outlineLevel="0" collapsed="false">
      <c r="B190" s="54" t="s">
        <v>310</v>
      </c>
    </row>
    <row r="191" customFormat="false" ht="15" hidden="false" customHeight="false" outlineLevel="0" collapsed="false">
      <c r="B191" s="1" t="s">
        <v>311</v>
      </c>
      <c r="F191" s="55" t="s">
        <v>312</v>
      </c>
      <c r="H191" s="57" t="n">
        <v>3</v>
      </c>
      <c r="I191" s="28" t="n">
        <f aca="false">J184</f>
        <v>52.923</v>
      </c>
      <c r="J191" s="28" t="n">
        <f aca="false">H191%*I191</f>
        <v>1.58769</v>
      </c>
    </row>
    <row r="192" customFormat="false" ht="15" hidden="false" customHeight="false" outlineLevel="0" collapsed="false">
      <c r="A192" s="60"/>
      <c r="B192" s="60"/>
      <c r="C192" s="60"/>
      <c r="D192" s="60"/>
      <c r="E192" s="60"/>
      <c r="F192" s="60"/>
      <c r="G192" s="60"/>
      <c r="H192" s="60"/>
      <c r="I192" s="80"/>
      <c r="J192" s="61" t="n">
        <f aca="false">SUM(J191:J191)</f>
        <v>1.58769</v>
      </c>
    </row>
    <row r="194" customFormat="false" ht="15" hidden="false" customHeight="false" outlineLevel="0" collapsed="false">
      <c r="A194" s="14" t="s">
        <v>278</v>
      </c>
      <c r="B194" s="14" t="str">
        <f aca="false">SANITARIAS!A26</f>
        <v>04.09.01</v>
      </c>
      <c r="C194" s="14" t="s">
        <v>1048</v>
      </c>
      <c r="D194" s="14"/>
      <c r="E194" s="14"/>
      <c r="F194" s="14"/>
      <c r="G194" s="14"/>
      <c r="H194" s="14"/>
      <c r="I194" s="14"/>
    </row>
    <row r="195" customFormat="false" ht="15" hidden="false" customHeight="false" outlineLevel="0" collapsed="false">
      <c r="A195" s="14" t="s">
        <v>279</v>
      </c>
      <c r="B195" s="14" t="s">
        <v>332</v>
      </c>
      <c r="C195" s="36" t="s">
        <v>281</v>
      </c>
      <c r="D195" s="52" t="n">
        <v>1</v>
      </c>
      <c r="E195" s="36" t="s">
        <v>282</v>
      </c>
      <c r="F195" s="52" t="n">
        <f aca="false">D195</f>
        <v>1</v>
      </c>
      <c r="G195" s="14" t="s">
        <v>283</v>
      </c>
      <c r="I195" s="36" t="s">
        <v>155</v>
      </c>
      <c r="J195" s="53" t="n">
        <f aca="false">J199</f>
        <v>79716.91</v>
      </c>
    </row>
    <row r="196" customFormat="false" ht="15" hidden="false" customHeight="false" outlineLevel="0" collapsed="false">
      <c r="A196" s="14" t="s">
        <v>284</v>
      </c>
      <c r="B196" s="14" t="s">
        <v>285</v>
      </c>
      <c r="F196" s="36" t="s">
        <v>123</v>
      </c>
      <c r="G196" s="36" t="s">
        <v>286</v>
      </c>
      <c r="H196" s="36" t="s">
        <v>287</v>
      </c>
      <c r="I196" s="36" t="s">
        <v>288</v>
      </c>
      <c r="J196" s="36" t="s">
        <v>289</v>
      </c>
    </row>
    <row r="197" customFormat="false" ht="15" hidden="false" customHeight="false" outlineLevel="0" collapsed="false">
      <c r="B197" s="54" t="s">
        <v>295</v>
      </c>
    </row>
    <row r="198" customFormat="false" ht="15" hidden="false" customHeight="false" outlineLevel="0" collapsed="false">
      <c r="B198" s="1" t="s">
        <v>1048</v>
      </c>
      <c r="F198" s="55" t="s">
        <v>155</v>
      </c>
      <c r="G198" s="56"/>
      <c r="H198" s="57" t="n">
        <v>1</v>
      </c>
      <c r="I198" s="88" t="n">
        <v>79716.91</v>
      </c>
      <c r="J198" s="28" t="n">
        <f aca="false">H198*I198</f>
        <v>79716.91</v>
      </c>
    </row>
    <row r="199" customFormat="false" ht="15" hidden="false" customHeight="false" outlineLevel="0" collapsed="false">
      <c r="A199" s="60"/>
      <c r="B199" s="60"/>
      <c r="C199" s="60"/>
      <c r="D199" s="60"/>
      <c r="E199" s="60"/>
      <c r="F199" s="60"/>
      <c r="G199" s="60"/>
      <c r="H199" s="60"/>
      <c r="I199" s="60"/>
      <c r="J199" s="61" t="n">
        <f aca="false">SUM(J198)</f>
        <v>79716.91</v>
      </c>
    </row>
    <row r="201" customFormat="false" ht="15" hidden="false" customHeight="false" outlineLevel="0" collapsed="false">
      <c r="A201" s="14" t="s">
        <v>278</v>
      </c>
      <c r="B201" s="14" t="str">
        <f aca="false">SANITARIAS!A27</f>
        <v>04.09.02</v>
      </c>
      <c r="C201" s="14" t="s">
        <v>1049</v>
      </c>
      <c r="D201" s="14"/>
      <c r="E201" s="14"/>
      <c r="F201" s="14"/>
      <c r="G201" s="14"/>
      <c r="H201" s="14"/>
      <c r="I201" s="14"/>
    </row>
    <row r="202" customFormat="false" ht="15" hidden="false" customHeight="false" outlineLevel="0" collapsed="false">
      <c r="A202" s="14" t="s">
        <v>279</v>
      </c>
      <c r="B202" s="14" t="s">
        <v>332</v>
      </c>
      <c r="C202" s="36" t="s">
        <v>281</v>
      </c>
      <c r="D202" s="52" t="n">
        <v>1</v>
      </c>
      <c r="E202" s="36" t="s">
        <v>282</v>
      </c>
      <c r="F202" s="52" t="n">
        <f aca="false">D202</f>
        <v>1</v>
      </c>
      <c r="G202" s="14" t="s">
        <v>283</v>
      </c>
      <c r="I202" s="36" t="s">
        <v>155</v>
      </c>
      <c r="J202" s="53" t="n">
        <f aca="false">J206</f>
        <v>131735.24</v>
      </c>
    </row>
    <row r="203" customFormat="false" ht="15" hidden="false" customHeight="false" outlineLevel="0" collapsed="false">
      <c r="A203" s="14" t="s">
        <v>284</v>
      </c>
      <c r="B203" s="14" t="s">
        <v>285</v>
      </c>
      <c r="F203" s="36" t="s">
        <v>123</v>
      </c>
      <c r="G203" s="36" t="s">
        <v>286</v>
      </c>
      <c r="H203" s="36" t="s">
        <v>287</v>
      </c>
      <c r="I203" s="36" t="s">
        <v>288</v>
      </c>
      <c r="J203" s="36" t="s">
        <v>289</v>
      </c>
    </row>
    <row r="204" customFormat="false" ht="15" hidden="false" customHeight="false" outlineLevel="0" collapsed="false">
      <c r="B204" s="54" t="s">
        <v>295</v>
      </c>
    </row>
    <row r="205" customFormat="false" ht="15" hidden="false" customHeight="false" outlineLevel="0" collapsed="false">
      <c r="B205" s="1" t="s">
        <v>1049</v>
      </c>
      <c r="F205" s="55" t="s">
        <v>155</v>
      </c>
      <c r="G205" s="56"/>
      <c r="H205" s="57" t="n">
        <v>1</v>
      </c>
      <c r="I205" s="88" t="n">
        <v>131735.24</v>
      </c>
      <c r="J205" s="28" t="n">
        <f aca="false">H205*I205</f>
        <v>131735.24</v>
      </c>
      <c r="M205" s="14"/>
      <c r="N205" s="14"/>
    </row>
    <row r="206" customFormat="false" ht="15" hidden="false" customHeight="false" outlineLevel="0" collapsed="false">
      <c r="A206" s="60"/>
      <c r="B206" s="60"/>
      <c r="C206" s="60"/>
      <c r="D206" s="60"/>
      <c r="E206" s="60"/>
      <c r="F206" s="60"/>
      <c r="G206" s="60"/>
      <c r="H206" s="60"/>
      <c r="I206" s="60"/>
      <c r="J206" s="61" t="n">
        <f aca="false">SUM(J205)</f>
        <v>131735.24</v>
      </c>
      <c r="N206" s="14"/>
    </row>
    <row r="207" customFormat="false" ht="15" hidden="false" customHeight="false" outlineLevel="0" collapsed="false">
      <c r="N207" s="14"/>
    </row>
    <row r="208" customFormat="false" ht="15" hidden="false" customHeight="false" outlineLevel="0" collapsed="false">
      <c r="A208" s="14" t="s">
        <v>278</v>
      </c>
      <c r="B208" s="14" t="str">
        <f aca="false">SANITARIAS!A28</f>
        <v>04.09.03</v>
      </c>
      <c r="C208" s="14" t="s">
        <v>116</v>
      </c>
      <c r="D208" s="14"/>
      <c r="E208" s="14"/>
      <c r="F208" s="14"/>
      <c r="G208" s="14"/>
      <c r="H208" s="14"/>
      <c r="I208" s="14"/>
      <c r="M208" s="14"/>
      <c r="N208" s="14"/>
    </row>
    <row r="209" customFormat="false" ht="15" hidden="false" customHeight="false" outlineLevel="0" collapsed="false">
      <c r="A209" s="14" t="s">
        <v>279</v>
      </c>
      <c r="B209" s="14" t="s">
        <v>332</v>
      </c>
      <c r="C209" s="36" t="s">
        <v>281</v>
      </c>
      <c r="D209" s="52" t="n">
        <v>1</v>
      </c>
      <c r="E209" s="36" t="s">
        <v>282</v>
      </c>
      <c r="F209" s="52" t="n">
        <f aca="false">D209</f>
        <v>1</v>
      </c>
      <c r="G209" s="14" t="s">
        <v>283</v>
      </c>
      <c r="I209" s="36" t="s">
        <v>155</v>
      </c>
      <c r="J209" s="53" t="n">
        <f aca="false">J213</f>
        <v>170038</v>
      </c>
      <c r="N209" s="14"/>
    </row>
    <row r="210" customFormat="false" ht="15" hidden="false" customHeight="false" outlineLevel="0" collapsed="false">
      <c r="A210" s="14" t="s">
        <v>284</v>
      </c>
      <c r="B210" s="14" t="s">
        <v>285</v>
      </c>
      <c r="F210" s="36" t="s">
        <v>123</v>
      </c>
      <c r="G210" s="36" t="s">
        <v>286</v>
      </c>
      <c r="H210" s="36" t="s">
        <v>287</v>
      </c>
      <c r="I210" s="36" t="s">
        <v>288</v>
      </c>
      <c r="J210" s="36" t="s">
        <v>289</v>
      </c>
      <c r="M210" s="14"/>
      <c r="N210" s="14"/>
    </row>
    <row r="211" customFormat="false" ht="15" hidden="false" customHeight="false" outlineLevel="0" collapsed="false">
      <c r="B211" s="54" t="s">
        <v>295</v>
      </c>
      <c r="N211" s="14"/>
    </row>
    <row r="212" customFormat="false" ht="15" hidden="false" customHeight="false" outlineLevel="0" collapsed="false">
      <c r="B212" s="1" t="s">
        <v>116</v>
      </c>
      <c r="F212" s="55" t="s">
        <v>155</v>
      </c>
      <c r="G212" s="56"/>
      <c r="H212" s="57" t="n">
        <v>1</v>
      </c>
      <c r="I212" s="88" t="n">
        <v>170038</v>
      </c>
      <c r="J212" s="28" t="n">
        <f aca="false">H212*I212</f>
        <v>170038</v>
      </c>
      <c r="N212" s="14"/>
    </row>
    <row r="213" customFormat="false" ht="15" hidden="false" customHeight="false" outlineLevel="0" collapsed="false">
      <c r="A213" s="60"/>
      <c r="B213" s="60"/>
      <c r="C213" s="60"/>
      <c r="D213" s="60"/>
      <c r="E213" s="60"/>
      <c r="F213" s="60"/>
      <c r="G213" s="60"/>
      <c r="H213" s="60"/>
      <c r="I213" s="60"/>
      <c r="J213" s="61" t="n">
        <f aca="false">SUM(J212)</f>
        <v>170038</v>
      </c>
      <c r="M213" s="14"/>
      <c r="N213" s="14"/>
    </row>
    <row r="214" customFormat="false" ht="15" hidden="false" customHeight="false" outlineLevel="0" collapsed="false">
      <c r="N214" s="14"/>
    </row>
    <row r="215" customFormat="false" ht="15" hidden="false" customHeight="false" outlineLevel="0" collapsed="false">
      <c r="A215" s="14"/>
      <c r="B215" s="14"/>
      <c r="C215" s="14"/>
      <c r="D215" s="14"/>
      <c r="E215" s="14"/>
      <c r="F215" s="14"/>
      <c r="G215" s="14"/>
      <c r="H215" s="14"/>
      <c r="I215" s="14"/>
      <c r="N215" s="14"/>
    </row>
    <row r="216" customFormat="false" ht="15" hidden="false" customHeight="false" outlineLevel="0" collapsed="false">
      <c r="A216" s="14"/>
      <c r="B216" s="14"/>
      <c r="C216" s="36"/>
      <c r="D216" s="52"/>
      <c r="E216" s="36"/>
      <c r="F216" s="52"/>
      <c r="G216" s="14"/>
      <c r="I216" s="36"/>
      <c r="J216" s="53"/>
      <c r="N216" s="14"/>
      <c r="O216" s="28"/>
    </row>
    <row r="217" customFormat="false" ht="15" hidden="false" customHeight="false" outlineLevel="0" collapsed="false">
      <c r="A217" s="14"/>
      <c r="B217" s="14"/>
      <c r="F217" s="36"/>
      <c r="G217" s="36"/>
      <c r="H217" s="36"/>
      <c r="I217" s="36"/>
      <c r="J217" s="36"/>
    </row>
    <row r="218" customFormat="false" ht="15" hidden="false" customHeight="false" outlineLevel="0" collapsed="false">
      <c r="B218" s="54"/>
    </row>
    <row r="219" customFormat="false" ht="15" hidden="false" customHeight="false" outlineLevel="0" collapsed="false">
      <c r="F219" s="55"/>
      <c r="G219" s="56"/>
      <c r="H219" s="57"/>
      <c r="J219" s="28"/>
    </row>
    <row r="220" customFormat="false" ht="15" hidden="false" customHeight="false" outlineLevel="0" collapsed="false">
      <c r="J220" s="53"/>
    </row>
    <row r="221" customFormat="false" ht="15" hidden="false" customHeight="false" outlineLevel="0" collapsed="false">
      <c r="F221" s="55"/>
      <c r="G221" s="56"/>
      <c r="H221" s="57"/>
      <c r="J221" s="28"/>
    </row>
    <row r="222" customFormat="false" ht="15" hidden="false" customHeight="false" outlineLevel="0" collapsed="false">
      <c r="J222" s="53"/>
    </row>
    <row r="223" customFormat="false" ht="15" hidden="false" customHeight="false" outlineLevel="0" collapsed="false">
      <c r="B223" s="54"/>
      <c r="F223" s="55"/>
      <c r="G223" s="56"/>
      <c r="H223" s="57"/>
      <c r="J223" s="28"/>
    </row>
    <row r="224" customFormat="false" ht="15" hidden="false" customHeight="false" outlineLevel="0" collapsed="false">
      <c r="F224" s="55"/>
      <c r="H224" s="57"/>
      <c r="J224" s="28"/>
    </row>
    <row r="225" customFormat="false" ht="15" hidden="false" customHeight="false" outlineLevel="0" collapsed="false">
      <c r="F225" s="55"/>
      <c r="H225" s="57"/>
      <c r="J225" s="28"/>
    </row>
    <row r="226" customFormat="false" ht="15" hidden="false" customHeight="false" outlineLevel="0" collapsed="false">
      <c r="F226" s="55"/>
      <c r="H226" s="57"/>
      <c r="J226" s="28"/>
    </row>
    <row r="227" customFormat="false" ht="15" hidden="false" customHeight="false" outlineLevel="0" collapsed="false">
      <c r="F227" s="55"/>
      <c r="H227" s="57"/>
      <c r="J227" s="28"/>
    </row>
    <row r="228" customFormat="false" ht="15" hidden="false" customHeight="false" outlineLevel="0" collapsed="false">
      <c r="F228" s="55"/>
      <c r="H228" s="57"/>
      <c r="J228" s="28"/>
    </row>
    <row r="229" customFormat="false" ht="15" hidden="false" customHeight="false" outlineLevel="0" collapsed="false">
      <c r="F229" s="55"/>
      <c r="H229" s="57"/>
      <c r="J229" s="28"/>
    </row>
    <row r="230" customFormat="false" ht="15" hidden="false" customHeight="false" outlineLevel="0" collapsed="false">
      <c r="F230" s="55"/>
      <c r="J230" s="28"/>
    </row>
    <row r="231" customFormat="false" ht="15" hidden="false" customHeight="false" outlineLevel="0" collapsed="false">
      <c r="F231" s="55"/>
      <c r="H231" s="57"/>
      <c r="J231" s="28"/>
    </row>
    <row r="232" customFormat="false" ht="15" hidden="false" customHeight="false" outlineLevel="0" collapsed="false">
      <c r="J232" s="53"/>
    </row>
    <row r="233" customFormat="false" ht="15" hidden="false" customHeight="false" outlineLevel="0" collapsed="false">
      <c r="B233" s="54"/>
    </row>
    <row r="234" customFormat="false" ht="15" hidden="false" customHeight="false" outlineLevel="0" collapsed="false">
      <c r="F234" s="55"/>
      <c r="H234" s="57"/>
      <c r="I234" s="28"/>
      <c r="J234" s="28"/>
    </row>
    <row r="235" customFormat="false" ht="15" hidden="false" customHeight="false" outlineLevel="0" collapsed="false">
      <c r="I235" s="14"/>
      <c r="J235" s="53"/>
    </row>
    <row r="237" customFormat="false" ht="15" hidden="false" customHeight="false" outlineLevel="0" collapsed="false">
      <c r="A237" s="14"/>
      <c r="B237" s="14"/>
      <c r="C237" s="14"/>
      <c r="D237" s="14"/>
    </row>
    <row r="238" customFormat="false" ht="15" hidden="false" customHeight="false" outlineLevel="0" collapsed="false">
      <c r="A238" s="14"/>
      <c r="B238" s="14"/>
      <c r="C238" s="36"/>
      <c r="D238" s="52"/>
      <c r="E238" s="36"/>
      <c r="F238" s="52"/>
      <c r="G238" s="14"/>
      <c r="I238" s="36"/>
      <c r="J238" s="53"/>
    </row>
    <row r="239" customFormat="false" ht="15" hidden="false" customHeight="false" outlineLevel="0" collapsed="false">
      <c r="A239" s="14"/>
      <c r="B239" s="14"/>
      <c r="F239" s="36"/>
      <c r="G239" s="36"/>
      <c r="H239" s="36"/>
      <c r="I239" s="36"/>
      <c r="J239" s="36"/>
    </row>
    <row r="240" customFormat="false" ht="15" hidden="false" customHeight="false" outlineLevel="0" collapsed="false">
      <c r="B240" s="54"/>
    </row>
    <row r="241" customFormat="false" ht="15" hidden="false" customHeight="false" outlineLevel="0" collapsed="false">
      <c r="F241" s="55"/>
      <c r="G241" s="56"/>
      <c r="H241" s="57"/>
      <c r="I241" s="28"/>
      <c r="J241" s="28"/>
    </row>
    <row r="242" customFormat="false" ht="15" hidden="false" customHeight="false" outlineLevel="0" collapsed="false">
      <c r="F242" s="55"/>
      <c r="G242" s="56"/>
      <c r="H242" s="57"/>
      <c r="J242" s="28"/>
    </row>
    <row r="243" customFormat="false" ht="15" hidden="false" customHeight="false" outlineLevel="0" collapsed="false">
      <c r="J243" s="53"/>
    </row>
    <row r="244" customFormat="false" ht="15" hidden="false" customHeight="false" outlineLevel="0" collapsed="false">
      <c r="B244" s="54"/>
      <c r="F244" s="55"/>
      <c r="G244" s="56"/>
      <c r="H244" s="57"/>
      <c r="J244" s="28"/>
    </row>
    <row r="245" customFormat="false" ht="15" hidden="false" customHeight="false" outlineLevel="0" collapsed="false">
      <c r="F245" s="55"/>
      <c r="H245" s="57"/>
      <c r="J245" s="28"/>
    </row>
    <row r="246" customFormat="false" ht="15" hidden="false" customHeight="false" outlineLevel="0" collapsed="false">
      <c r="F246" s="55"/>
      <c r="H246" s="57"/>
      <c r="J246" s="28"/>
    </row>
    <row r="247" customFormat="false" ht="15" hidden="false" customHeight="false" outlineLevel="0" collapsed="false">
      <c r="F247" s="55"/>
      <c r="H247" s="57"/>
      <c r="J247" s="28"/>
    </row>
    <row r="248" customFormat="false" ht="15" hidden="false" customHeight="false" outlineLevel="0" collapsed="false">
      <c r="F248" s="55"/>
      <c r="H248" s="57"/>
      <c r="J248" s="28"/>
    </row>
    <row r="249" customFormat="false" ht="15" hidden="false" customHeight="false" outlineLevel="0" collapsed="false">
      <c r="F249" s="55"/>
      <c r="J249" s="28"/>
    </row>
    <row r="250" customFormat="false" ht="15" hidden="false" customHeight="false" outlineLevel="0" collapsed="false">
      <c r="F250" s="55"/>
      <c r="H250" s="57"/>
      <c r="J250" s="53"/>
    </row>
    <row r="251" customFormat="false" ht="15" hidden="false" customHeight="false" outlineLevel="0" collapsed="false">
      <c r="B251" s="54"/>
    </row>
    <row r="252" customFormat="false" ht="15" hidden="false" customHeight="false" outlineLevel="0" collapsed="false">
      <c r="F252" s="55"/>
      <c r="H252" s="57"/>
      <c r="I252" s="28"/>
      <c r="J252" s="28"/>
    </row>
    <row r="253" customFormat="false" ht="15" hidden="false" customHeight="false" outlineLevel="0" collapsed="false">
      <c r="I253" s="14"/>
      <c r="J253" s="53"/>
    </row>
    <row r="254" customFormat="false" ht="15" hidden="false" customHeight="false" outlineLevel="0" collapsed="false">
      <c r="I254" s="14"/>
      <c r="J254" s="53"/>
    </row>
    <row r="255" customFormat="false" ht="15" hidden="false" customHeight="false" outlineLevel="0" collapsed="false">
      <c r="A255" s="14"/>
      <c r="B255" s="14"/>
      <c r="C255" s="14"/>
      <c r="D255" s="14"/>
    </row>
    <row r="256" customFormat="false" ht="15" hidden="false" customHeight="false" outlineLevel="0" collapsed="false">
      <c r="A256" s="14"/>
      <c r="B256" s="14"/>
      <c r="C256" s="36"/>
      <c r="D256" s="52"/>
      <c r="E256" s="36"/>
      <c r="F256" s="52"/>
      <c r="G256" s="14"/>
      <c r="I256" s="36"/>
      <c r="J256" s="53"/>
    </row>
    <row r="257" customFormat="false" ht="15" hidden="false" customHeight="false" outlineLevel="0" collapsed="false">
      <c r="A257" s="14"/>
      <c r="B257" s="14"/>
      <c r="F257" s="36"/>
      <c r="G257" s="36"/>
      <c r="H257" s="36"/>
      <c r="I257" s="36"/>
      <c r="J257" s="36"/>
    </row>
    <row r="258" customFormat="false" ht="15" hidden="false" customHeight="false" outlineLevel="0" collapsed="false">
      <c r="B258" s="54"/>
    </row>
    <row r="259" customFormat="false" ht="15" hidden="false" customHeight="false" outlineLevel="0" collapsed="false">
      <c r="F259" s="55"/>
      <c r="G259" s="56"/>
      <c r="H259" s="57"/>
      <c r="J259" s="28"/>
    </row>
    <row r="260" customFormat="false" ht="15" hidden="false" customHeight="false" outlineLevel="0" collapsed="false">
      <c r="F260" s="55"/>
      <c r="G260" s="56"/>
      <c r="H260" s="57"/>
      <c r="J260" s="53"/>
    </row>
    <row r="263" customFormat="false" ht="15" hidden="false" customHeight="false" outlineLevel="0" collapsed="false">
      <c r="A263" s="14"/>
      <c r="B263" s="14"/>
      <c r="C263" s="14"/>
      <c r="D263" s="14"/>
    </row>
    <row r="264" customFormat="false" ht="15" hidden="false" customHeight="false" outlineLevel="0" collapsed="false">
      <c r="A264" s="14"/>
      <c r="B264" s="14"/>
      <c r="C264" s="36"/>
      <c r="D264" s="52"/>
      <c r="E264" s="36"/>
      <c r="F264" s="52"/>
      <c r="G264" s="14"/>
      <c r="I264" s="36"/>
      <c r="J264" s="53"/>
    </row>
    <row r="265" customFormat="false" ht="15" hidden="false" customHeight="false" outlineLevel="0" collapsed="false">
      <c r="A265" s="14"/>
      <c r="B265" s="14"/>
      <c r="F265" s="36"/>
      <c r="G265" s="36"/>
      <c r="H265" s="36"/>
      <c r="I265" s="36"/>
      <c r="J265" s="36"/>
    </row>
    <row r="266" customFormat="false" ht="15" hidden="false" customHeight="false" outlineLevel="0" collapsed="false">
      <c r="B266" s="54"/>
      <c r="T266" s="28"/>
    </row>
    <row r="267" customFormat="false" ht="15" hidden="false" customHeight="false" outlineLevel="0" collapsed="false">
      <c r="F267" s="55"/>
      <c r="G267" s="56"/>
      <c r="H267" s="57"/>
      <c r="I267" s="28"/>
      <c r="J267" s="28"/>
      <c r="T267" s="28"/>
    </row>
    <row r="268" customFormat="false" ht="15" hidden="false" customHeight="false" outlineLevel="0" collapsed="false">
      <c r="F268" s="55"/>
      <c r="G268" s="56"/>
      <c r="H268" s="57"/>
      <c r="J268" s="28"/>
    </row>
    <row r="269" customFormat="false" ht="15" hidden="false" customHeight="false" outlineLevel="0" collapsed="false">
      <c r="J269" s="53"/>
      <c r="T269" s="28"/>
    </row>
    <row r="270" customFormat="false" ht="15" hidden="false" customHeight="false" outlineLevel="0" collapsed="false">
      <c r="B270" s="54"/>
      <c r="F270" s="55"/>
      <c r="G270" s="56"/>
      <c r="H270" s="57"/>
      <c r="J270" s="28"/>
      <c r="S270" s="135"/>
    </row>
    <row r="271" customFormat="false" ht="15" hidden="false" customHeight="false" outlineLevel="0" collapsed="false">
      <c r="F271" s="55"/>
      <c r="G271" s="56"/>
      <c r="H271" s="57"/>
      <c r="J271" s="28"/>
    </row>
    <row r="272" customFormat="false" ht="15" hidden="false" customHeight="false" outlineLevel="0" collapsed="false">
      <c r="F272" s="55"/>
      <c r="J272" s="53"/>
    </row>
    <row r="273" customFormat="false" ht="15" hidden="false" customHeight="false" outlineLevel="0" collapsed="false">
      <c r="B273" s="54"/>
    </row>
    <row r="274" customFormat="false" ht="15" hidden="false" customHeight="false" outlineLevel="0" collapsed="false">
      <c r="F274" s="55"/>
      <c r="H274" s="57"/>
      <c r="I274" s="28"/>
      <c r="J274" s="28"/>
    </row>
    <row r="275" customFormat="false" ht="15" hidden="false" customHeight="false" outlineLevel="0" collapsed="false">
      <c r="I275" s="14"/>
      <c r="J275" s="53"/>
    </row>
    <row r="277" customFormat="false" ht="15" hidden="false" customHeight="false" outlineLevel="0" collapsed="false">
      <c r="A277" s="14"/>
      <c r="B277" s="14"/>
      <c r="C277" s="14"/>
      <c r="D277" s="14"/>
    </row>
    <row r="278" customFormat="false" ht="15" hidden="false" customHeight="false" outlineLevel="0" collapsed="false">
      <c r="A278" s="14"/>
      <c r="B278" s="14"/>
      <c r="C278" s="36"/>
      <c r="D278" s="52"/>
      <c r="E278" s="36"/>
      <c r="F278" s="52"/>
      <c r="G278" s="14"/>
      <c r="I278" s="36"/>
      <c r="J278" s="53"/>
    </row>
    <row r="279" customFormat="false" ht="15" hidden="false" customHeight="false" outlineLevel="0" collapsed="false">
      <c r="A279" s="14"/>
      <c r="B279" s="14"/>
      <c r="F279" s="36"/>
      <c r="G279" s="36"/>
      <c r="H279" s="36"/>
      <c r="I279" s="36"/>
      <c r="J279" s="36"/>
    </row>
    <row r="280" customFormat="false" ht="15" hidden="false" customHeight="false" outlineLevel="0" collapsed="false">
      <c r="B280" s="54"/>
    </row>
    <row r="281" customFormat="false" ht="15" hidden="false" customHeight="false" outlineLevel="0" collapsed="false">
      <c r="F281" s="55"/>
      <c r="G281" s="56"/>
      <c r="H281" s="57"/>
      <c r="J281" s="28"/>
      <c r="T281" s="135"/>
    </row>
    <row r="282" customFormat="false" ht="15" hidden="false" customHeight="false" outlineLevel="0" collapsed="false">
      <c r="F282" s="55"/>
      <c r="G282" s="56"/>
      <c r="H282" s="57"/>
      <c r="J282" s="28"/>
    </row>
    <row r="283" customFormat="false" ht="15" hidden="false" customHeight="false" outlineLevel="0" collapsed="false">
      <c r="F283" s="55"/>
      <c r="G283" s="56"/>
      <c r="H283" s="57"/>
      <c r="J283" s="28"/>
    </row>
    <row r="284" customFormat="false" ht="15" hidden="false" customHeight="false" outlineLevel="0" collapsed="false">
      <c r="J284" s="53"/>
    </row>
    <row r="285" customFormat="false" ht="15" hidden="false" customHeight="false" outlineLevel="0" collapsed="false">
      <c r="B285" s="54"/>
      <c r="F285" s="55"/>
      <c r="G285" s="56"/>
      <c r="H285" s="57"/>
      <c r="J285" s="28"/>
    </row>
    <row r="286" customFormat="false" ht="15" hidden="false" customHeight="false" outlineLevel="0" collapsed="false">
      <c r="F286" s="55"/>
      <c r="G286" s="56"/>
      <c r="H286" s="57"/>
      <c r="J286" s="28"/>
    </row>
    <row r="287" customFormat="false" ht="15" hidden="false" customHeight="false" outlineLevel="0" collapsed="false">
      <c r="F287" s="55"/>
      <c r="G287" s="56"/>
      <c r="H287" s="57"/>
      <c r="J287" s="28"/>
    </row>
    <row r="288" customFormat="false" ht="15" hidden="false" customHeight="false" outlineLevel="0" collapsed="false">
      <c r="F288" s="55"/>
      <c r="J288" s="28"/>
    </row>
    <row r="289" customFormat="false" ht="15" hidden="false" customHeight="false" outlineLevel="0" collapsed="false">
      <c r="F289" s="55"/>
      <c r="J289" s="53"/>
    </row>
    <row r="290" customFormat="false" ht="15" hidden="false" customHeight="false" outlineLevel="0" collapsed="false">
      <c r="B290" s="54"/>
    </row>
    <row r="291" customFormat="false" ht="15" hidden="false" customHeight="false" outlineLevel="0" collapsed="false">
      <c r="F291" s="55"/>
      <c r="H291" s="57"/>
      <c r="I291" s="28"/>
      <c r="J291" s="28"/>
    </row>
    <row r="292" customFormat="false" ht="15" hidden="false" customHeight="false" outlineLevel="0" collapsed="false">
      <c r="F292" s="55"/>
      <c r="G292" s="56"/>
      <c r="H292" s="57"/>
      <c r="J292" s="28"/>
    </row>
    <row r="293" customFormat="false" ht="15" hidden="false" customHeight="false" outlineLevel="0" collapsed="false">
      <c r="I293" s="14"/>
      <c r="J293" s="53"/>
    </row>
    <row r="294" customFormat="false" ht="15" hidden="false" customHeight="false" outlineLevel="0" collapsed="false">
      <c r="I294" s="14"/>
      <c r="J294" s="53"/>
    </row>
    <row r="295" customFormat="false" ht="15" hidden="false" customHeight="false" outlineLevel="0" collapsed="false">
      <c r="A295" s="14"/>
      <c r="B295" s="14"/>
      <c r="C295" s="14"/>
      <c r="D295" s="14"/>
    </row>
    <row r="296" customFormat="false" ht="15" hidden="false" customHeight="false" outlineLevel="0" collapsed="false">
      <c r="A296" s="14"/>
      <c r="B296" s="14"/>
      <c r="C296" s="36"/>
      <c r="D296" s="52"/>
      <c r="E296" s="36"/>
      <c r="F296" s="52"/>
      <c r="G296" s="14"/>
      <c r="I296" s="36"/>
      <c r="J296" s="53"/>
    </row>
    <row r="297" customFormat="false" ht="15" hidden="false" customHeight="false" outlineLevel="0" collapsed="false">
      <c r="A297" s="14"/>
      <c r="B297" s="14"/>
      <c r="F297" s="36"/>
      <c r="G297" s="36"/>
      <c r="H297" s="36"/>
      <c r="I297" s="36"/>
      <c r="J297" s="36"/>
    </row>
    <row r="298" customFormat="false" ht="15" hidden="false" customHeight="false" outlineLevel="0" collapsed="false">
      <c r="B298" s="54"/>
    </row>
    <row r="299" customFormat="false" ht="15" hidden="false" customHeight="false" outlineLevel="0" collapsed="false">
      <c r="F299" s="55"/>
      <c r="G299" s="56"/>
      <c r="H299" s="57"/>
      <c r="J299" s="28"/>
    </row>
    <row r="300" customFormat="false" ht="15" hidden="false" customHeight="false" outlineLevel="0" collapsed="false">
      <c r="F300" s="55"/>
      <c r="G300" s="56"/>
      <c r="H300" s="57"/>
      <c r="J300" s="53"/>
    </row>
    <row r="301" customFormat="false" ht="15" hidden="false" customHeight="false" outlineLevel="0" collapsed="false">
      <c r="I301" s="14"/>
      <c r="J301" s="53"/>
    </row>
    <row r="302" customFormat="false" ht="15" hidden="false" customHeight="false" outlineLevel="0" collapsed="false">
      <c r="I302" s="14"/>
      <c r="J302" s="53"/>
    </row>
    <row r="303" customFormat="false" ht="15" hidden="false" customHeight="false" outlineLevel="0" collapsed="false">
      <c r="A303" s="14"/>
      <c r="B303" s="14"/>
      <c r="C303" s="14"/>
      <c r="D303" s="14"/>
    </row>
    <row r="304" customFormat="false" ht="15" hidden="false" customHeight="false" outlineLevel="0" collapsed="false">
      <c r="A304" s="14"/>
      <c r="B304" s="14"/>
      <c r="C304" s="36"/>
      <c r="D304" s="52"/>
      <c r="E304" s="36"/>
      <c r="F304" s="52"/>
      <c r="G304" s="14"/>
      <c r="I304" s="36"/>
      <c r="J304" s="53"/>
    </row>
    <row r="305" customFormat="false" ht="15" hidden="false" customHeight="false" outlineLevel="0" collapsed="false">
      <c r="A305" s="14"/>
      <c r="B305" s="14"/>
      <c r="F305" s="36"/>
      <c r="G305" s="36"/>
      <c r="H305" s="36"/>
      <c r="I305" s="36"/>
      <c r="J305" s="36"/>
    </row>
    <row r="306" customFormat="false" ht="15" hidden="false" customHeight="false" outlineLevel="0" collapsed="false">
      <c r="B306" s="54"/>
    </row>
    <row r="307" customFormat="false" ht="15" hidden="false" customHeight="false" outlineLevel="0" collapsed="false">
      <c r="F307" s="55"/>
      <c r="G307" s="56"/>
      <c r="H307" s="57"/>
      <c r="J307" s="28"/>
    </row>
    <row r="308" customFormat="false" ht="15" hidden="false" customHeight="false" outlineLevel="0" collapsed="false">
      <c r="F308" s="55"/>
      <c r="G308" s="56"/>
      <c r="H308" s="57"/>
      <c r="J308" s="28"/>
    </row>
    <row r="309" customFormat="false" ht="15" hidden="false" customHeight="false" outlineLevel="0" collapsed="false">
      <c r="J309" s="53"/>
    </row>
    <row r="310" customFormat="false" ht="15" hidden="false" customHeight="false" outlineLevel="0" collapsed="false">
      <c r="B310" s="54"/>
      <c r="F310" s="55"/>
      <c r="G310" s="56"/>
      <c r="H310" s="57"/>
      <c r="J310" s="28"/>
    </row>
    <row r="311" customFormat="false" ht="15" hidden="false" customHeight="false" outlineLevel="0" collapsed="false">
      <c r="F311" s="55"/>
      <c r="G311" s="56"/>
      <c r="H311" s="57"/>
      <c r="J311" s="28"/>
    </row>
    <row r="312" customFormat="false" ht="15" hidden="false" customHeight="false" outlineLevel="0" collapsed="false">
      <c r="F312" s="55"/>
      <c r="H312" s="57"/>
      <c r="J312" s="28"/>
    </row>
    <row r="313" customFormat="false" ht="15" hidden="false" customHeight="false" outlineLevel="0" collapsed="false">
      <c r="F313" s="55"/>
      <c r="H313" s="57"/>
      <c r="J313" s="28"/>
    </row>
    <row r="314" customFormat="false" ht="15" hidden="false" customHeight="false" outlineLevel="0" collapsed="false">
      <c r="F314" s="55"/>
      <c r="G314" s="56"/>
      <c r="H314" s="57"/>
      <c r="J314" s="28"/>
    </row>
    <row r="315" customFormat="false" ht="15" hidden="false" customHeight="false" outlineLevel="0" collapsed="false">
      <c r="F315" s="55"/>
      <c r="G315" s="56"/>
      <c r="H315" s="57"/>
      <c r="J315" s="28"/>
    </row>
    <row r="316" customFormat="false" ht="15" hidden="false" customHeight="false" outlineLevel="0" collapsed="false">
      <c r="F316" s="55"/>
      <c r="G316" s="56"/>
      <c r="H316" s="57"/>
      <c r="J316" s="28"/>
    </row>
    <row r="317" customFormat="false" ht="15" hidden="false" customHeight="false" outlineLevel="0" collapsed="false">
      <c r="F317" s="55"/>
      <c r="J317" s="53"/>
    </row>
    <row r="318" customFormat="false" ht="15" hidden="false" customHeight="false" outlineLevel="0" collapsed="false">
      <c r="B318" s="54"/>
    </row>
    <row r="319" customFormat="false" ht="15" hidden="false" customHeight="false" outlineLevel="0" collapsed="false">
      <c r="F319" s="55"/>
      <c r="H319" s="57"/>
      <c r="I319" s="28"/>
      <c r="J319" s="28"/>
    </row>
    <row r="320" customFormat="false" ht="15" hidden="false" customHeight="false" outlineLevel="0" collapsed="false">
      <c r="I320" s="14"/>
      <c r="J320" s="53"/>
    </row>
    <row r="322" customFormat="false" ht="15" hidden="false" customHeight="false" outlineLevel="0" collapsed="false">
      <c r="A322" s="14"/>
      <c r="B322" s="14"/>
      <c r="C322" s="14"/>
      <c r="D322" s="14"/>
    </row>
    <row r="323" customFormat="false" ht="15" hidden="false" customHeight="false" outlineLevel="0" collapsed="false">
      <c r="A323" s="14"/>
      <c r="B323" s="14"/>
      <c r="C323" s="36"/>
      <c r="D323" s="52"/>
      <c r="E323" s="36"/>
      <c r="F323" s="52"/>
      <c r="G323" s="14"/>
      <c r="I323" s="36"/>
      <c r="J323" s="53"/>
    </row>
    <row r="324" customFormat="false" ht="15" hidden="false" customHeight="false" outlineLevel="0" collapsed="false">
      <c r="A324" s="14"/>
      <c r="B324" s="14"/>
      <c r="F324" s="36"/>
      <c r="G324" s="36"/>
      <c r="H324" s="36"/>
      <c r="I324" s="36"/>
      <c r="J324" s="36"/>
    </row>
    <row r="325" customFormat="false" ht="15" hidden="false" customHeight="false" outlineLevel="0" collapsed="false">
      <c r="B325" s="54"/>
    </row>
    <row r="326" customFormat="false" ht="15" hidden="false" customHeight="false" outlineLevel="0" collapsed="false">
      <c r="F326" s="55"/>
      <c r="G326" s="56"/>
      <c r="H326" s="57"/>
      <c r="J326" s="28"/>
    </row>
    <row r="327" customFormat="false" ht="15" hidden="false" customHeight="false" outlineLevel="0" collapsed="false">
      <c r="F327" s="55"/>
      <c r="G327" s="56"/>
      <c r="H327" s="57"/>
      <c r="J327" s="53"/>
    </row>
    <row r="329" customFormat="false" ht="15" hidden="false" customHeight="false" outlineLevel="0" collapsed="false">
      <c r="A329" s="14"/>
      <c r="B329" s="14"/>
      <c r="C329" s="14"/>
      <c r="D329" s="14"/>
    </row>
    <row r="330" customFormat="false" ht="15" hidden="false" customHeight="false" outlineLevel="0" collapsed="false">
      <c r="A330" s="14"/>
      <c r="B330" s="14"/>
      <c r="C330" s="36"/>
      <c r="D330" s="52"/>
      <c r="E330" s="36"/>
      <c r="F330" s="52"/>
      <c r="G330" s="14"/>
      <c r="I330" s="36"/>
      <c r="J330" s="53"/>
    </row>
    <row r="331" customFormat="false" ht="15" hidden="false" customHeight="false" outlineLevel="0" collapsed="false">
      <c r="A331" s="14"/>
      <c r="B331" s="14"/>
      <c r="F331" s="36"/>
      <c r="G331" s="36"/>
      <c r="H331" s="36"/>
      <c r="I331" s="36"/>
      <c r="J331" s="36"/>
    </row>
    <row r="332" customFormat="false" ht="15" hidden="false" customHeight="false" outlineLevel="0" collapsed="false">
      <c r="B332" s="54"/>
    </row>
    <row r="333" customFormat="false" ht="15" hidden="false" customHeight="false" outlineLevel="0" collapsed="false">
      <c r="F333" s="55"/>
      <c r="G333" s="56"/>
      <c r="H333" s="57"/>
      <c r="J333" s="28"/>
    </row>
    <row r="334" customFormat="false" ht="15" hidden="false" customHeight="false" outlineLevel="0" collapsed="false">
      <c r="F334" s="55"/>
      <c r="G334" s="56"/>
      <c r="H334" s="57"/>
      <c r="J334" s="53"/>
    </row>
    <row r="338" customFormat="false" ht="15" hidden="false" customHeight="false" outlineLevel="0" collapsed="false">
      <c r="A338" s="14"/>
      <c r="B338" s="14"/>
      <c r="C338" s="14"/>
      <c r="D338" s="14"/>
    </row>
    <row r="339" customFormat="false" ht="15" hidden="false" customHeight="false" outlineLevel="0" collapsed="false">
      <c r="A339" s="14"/>
      <c r="B339" s="14"/>
      <c r="C339" s="36"/>
      <c r="D339" s="52"/>
      <c r="E339" s="36"/>
      <c r="F339" s="52"/>
      <c r="G339" s="14"/>
      <c r="I339" s="36"/>
      <c r="J339" s="53"/>
    </row>
    <row r="340" customFormat="false" ht="15" hidden="false" customHeight="false" outlineLevel="0" collapsed="false">
      <c r="A340" s="14"/>
      <c r="B340" s="14"/>
      <c r="F340" s="36"/>
      <c r="G340" s="36"/>
      <c r="H340" s="36"/>
      <c r="I340" s="36"/>
      <c r="J340" s="36"/>
    </row>
    <row r="341" customFormat="false" ht="15" hidden="false" customHeight="false" outlineLevel="0" collapsed="false">
      <c r="B341" s="54"/>
    </row>
    <row r="342" customFormat="false" ht="15" hidden="false" customHeight="false" outlineLevel="0" collapsed="false">
      <c r="F342" s="55"/>
      <c r="G342" s="56"/>
      <c r="H342" s="57"/>
      <c r="I342" s="28"/>
      <c r="J342" s="28"/>
    </row>
    <row r="343" customFormat="false" ht="15" hidden="false" customHeight="false" outlineLevel="0" collapsed="false">
      <c r="F343" s="55"/>
      <c r="G343" s="56"/>
      <c r="H343" s="57"/>
      <c r="J343" s="28"/>
    </row>
    <row r="344" customFormat="false" ht="15" hidden="false" customHeight="false" outlineLevel="0" collapsed="false">
      <c r="F344" s="55"/>
      <c r="G344" s="56"/>
      <c r="H344" s="57"/>
      <c r="J344" s="53"/>
    </row>
    <row r="345" customFormat="false" ht="15" hidden="false" customHeight="false" outlineLevel="0" collapsed="false">
      <c r="B345" s="54"/>
      <c r="F345" s="55"/>
      <c r="G345" s="56"/>
      <c r="H345" s="57"/>
      <c r="I345" s="57"/>
      <c r="J345" s="28"/>
    </row>
    <row r="346" customFormat="false" ht="15" hidden="false" customHeight="false" outlineLevel="0" collapsed="false">
      <c r="F346" s="55"/>
      <c r="H346" s="57"/>
      <c r="I346" s="28"/>
      <c r="J346" s="28"/>
    </row>
    <row r="347" customFormat="false" ht="15" hidden="false" customHeight="false" outlineLevel="0" collapsed="false">
      <c r="F347" s="55"/>
      <c r="H347" s="57"/>
      <c r="I347" s="28"/>
      <c r="J347" s="28"/>
    </row>
    <row r="348" customFormat="false" ht="15" hidden="false" customHeight="false" outlineLevel="0" collapsed="false">
      <c r="F348" s="55"/>
      <c r="H348" s="57"/>
      <c r="I348" s="28"/>
      <c r="J348" s="28"/>
    </row>
    <row r="349" customFormat="false" ht="15" hidden="false" customHeight="false" outlineLevel="0" collapsed="false">
      <c r="F349" s="55"/>
      <c r="H349" s="57"/>
      <c r="I349" s="28"/>
      <c r="J349" s="28"/>
    </row>
    <row r="350" customFormat="false" ht="15" hidden="false" customHeight="false" outlineLevel="0" collapsed="false">
      <c r="F350" s="55"/>
      <c r="H350" s="57"/>
      <c r="I350" s="28"/>
      <c r="J350" s="28"/>
    </row>
    <row r="351" customFormat="false" ht="15" hidden="false" customHeight="false" outlineLevel="0" collapsed="false">
      <c r="J351" s="53"/>
    </row>
    <row r="352" customFormat="false" ht="15" hidden="false" customHeight="false" outlineLevel="0" collapsed="false">
      <c r="B352" s="54"/>
    </row>
    <row r="353" customFormat="false" ht="15" hidden="false" customHeight="false" outlineLevel="0" collapsed="false">
      <c r="F353" s="55"/>
      <c r="H353" s="57"/>
      <c r="I353" s="28"/>
      <c r="J353" s="28"/>
    </row>
    <row r="354" customFormat="false" ht="15" hidden="false" customHeight="false" outlineLevel="0" collapsed="false">
      <c r="I354" s="14"/>
      <c r="J354" s="53"/>
    </row>
    <row r="356" customFormat="false" ht="15" hidden="false" customHeight="false" outlineLevel="0" collapsed="false">
      <c r="A356" s="14"/>
      <c r="B356" s="14"/>
      <c r="C356" s="14"/>
      <c r="D356" s="14"/>
    </row>
    <row r="357" customFormat="false" ht="15" hidden="false" customHeight="false" outlineLevel="0" collapsed="false">
      <c r="A357" s="14"/>
      <c r="B357" s="14"/>
      <c r="C357" s="36"/>
      <c r="D357" s="52"/>
      <c r="E357" s="36"/>
      <c r="F357" s="52"/>
      <c r="G357" s="14"/>
      <c r="I357" s="36"/>
      <c r="J357" s="53"/>
    </row>
    <row r="358" customFormat="false" ht="15" hidden="false" customHeight="false" outlineLevel="0" collapsed="false">
      <c r="A358" s="14"/>
      <c r="B358" s="14"/>
      <c r="F358" s="36"/>
      <c r="G358" s="36"/>
      <c r="H358" s="36"/>
      <c r="I358" s="36"/>
      <c r="J358" s="36"/>
    </row>
    <row r="359" customFormat="false" ht="15" hidden="false" customHeight="false" outlineLevel="0" collapsed="false">
      <c r="B359" s="54"/>
    </row>
    <row r="360" customFormat="false" ht="15" hidden="false" customHeight="false" outlineLevel="0" collapsed="false">
      <c r="F360" s="55"/>
      <c r="G360" s="56"/>
      <c r="H360" s="57"/>
      <c r="I360" s="28"/>
      <c r="J360" s="28"/>
    </row>
    <row r="361" customFormat="false" ht="15" hidden="false" customHeight="false" outlineLevel="0" collapsed="false">
      <c r="F361" s="55"/>
      <c r="G361" s="56"/>
      <c r="H361" s="57"/>
      <c r="J361" s="28"/>
    </row>
    <row r="362" customFormat="false" ht="15" hidden="false" customHeight="false" outlineLevel="0" collapsed="false">
      <c r="F362" s="55"/>
      <c r="G362" s="56"/>
      <c r="H362" s="57"/>
      <c r="J362" s="53"/>
    </row>
    <row r="363" customFormat="false" ht="15" hidden="false" customHeight="false" outlineLevel="0" collapsed="false">
      <c r="B363" s="54"/>
      <c r="F363" s="55"/>
      <c r="G363" s="56"/>
      <c r="H363" s="57"/>
      <c r="I363" s="57"/>
      <c r="J363" s="28"/>
    </row>
    <row r="364" customFormat="false" ht="15" hidden="false" customHeight="false" outlineLevel="0" collapsed="false">
      <c r="F364" s="55"/>
      <c r="H364" s="57"/>
      <c r="I364" s="28"/>
      <c r="J364" s="28"/>
    </row>
    <row r="365" customFormat="false" ht="15" hidden="false" customHeight="false" outlineLevel="0" collapsed="false">
      <c r="F365" s="55"/>
      <c r="H365" s="57"/>
      <c r="I365" s="28"/>
      <c r="J365" s="28"/>
    </row>
    <row r="366" customFormat="false" ht="15" hidden="false" customHeight="false" outlineLevel="0" collapsed="false">
      <c r="F366" s="55"/>
      <c r="H366" s="57"/>
      <c r="I366" s="28"/>
      <c r="J366" s="28"/>
    </row>
    <row r="367" customFormat="false" ht="15" hidden="false" customHeight="false" outlineLevel="0" collapsed="false">
      <c r="F367" s="55"/>
      <c r="H367" s="57"/>
      <c r="I367" s="28"/>
      <c r="J367" s="28"/>
    </row>
    <row r="368" customFormat="false" ht="15" hidden="false" customHeight="false" outlineLevel="0" collapsed="false">
      <c r="F368" s="55"/>
      <c r="H368" s="57"/>
      <c r="I368" s="28"/>
      <c r="J368" s="28"/>
    </row>
    <row r="369" customFormat="false" ht="15" hidden="false" customHeight="false" outlineLevel="0" collapsed="false">
      <c r="J369" s="53"/>
    </row>
    <row r="370" customFormat="false" ht="15" hidden="false" customHeight="false" outlineLevel="0" collapsed="false">
      <c r="B370" s="54"/>
    </row>
    <row r="371" customFormat="false" ht="15" hidden="false" customHeight="false" outlineLevel="0" collapsed="false">
      <c r="F371" s="55"/>
      <c r="H371" s="57"/>
      <c r="I371" s="28"/>
      <c r="J371" s="28"/>
    </row>
    <row r="372" customFormat="false" ht="15" hidden="false" customHeight="false" outlineLevel="0" collapsed="false">
      <c r="I372" s="14"/>
      <c r="J372" s="53"/>
    </row>
    <row r="374" customFormat="false" ht="15" hidden="false" customHeight="false" outlineLevel="0" collapsed="false">
      <c r="A374" s="14"/>
      <c r="B374" s="14"/>
      <c r="C374" s="14"/>
      <c r="D374" s="14"/>
    </row>
    <row r="375" customFormat="false" ht="15" hidden="false" customHeight="false" outlineLevel="0" collapsed="false">
      <c r="A375" s="14"/>
      <c r="B375" s="14"/>
      <c r="C375" s="36"/>
      <c r="D375" s="52"/>
      <c r="E375" s="36"/>
      <c r="F375" s="52"/>
      <c r="G375" s="14"/>
      <c r="I375" s="36"/>
      <c r="J375" s="53"/>
    </row>
    <row r="376" customFormat="false" ht="15" hidden="false" customHeight="false" outlineLevel="0" collapsed="false">
      <c r="A376" s="14"/>
      <c r="B376" s="14"/>
      <c r="F376" s="36"/>
      <c r="G376" s="36"/>
      <c r="H376" s="36"/>
      <c r="I376" s="36"/>
      <c r="J376" s="36"/>
    </row>
    <row r="377" customFormat="false" ht="15" hidden="false" customHeight="false" outlineLevel="0" collapsed="false">
      <c r="B377" s="54"/>
    </row>
    <row r="378" customFormat="false" ht="15" hidden="false" customHeight="false" outlineLevel="0" collapsed="false">
      <c r="F378" s="55"/>
      <c r="G378" s="56"/>
      <c r="H378" s="57"/>
      <c r="I378" s="28"/>
      <c r="J378" s="28"/>
    </row>
    <row r="379" customFormat="false" ht="15" hidden="false" customHeight="false" outlineLevel="0" collapsed="false">
      <c r="F379" s="55"/>
      <c r="G379" s="56"/>
      <c r="H379" s="57"/>
      <c r="J379" s="28"/>
    </row>
    <row r="380" customFormat="false" ht="15" hidden="false" customHeight="false" outlineLevel="0" collapsed="false">
      <c r="F380" s="55"/>
      <c r="G380" s="56"/>
      <c r="H380" s="57"/>
      <c r="J380" s="53"/>
    </row>
    <row r="381" customFormat="false" ht="15" hidden="false" customHeight="false" outlineLevel="0" collapsed="false">
      <c r="B381" s="54"/>
      <c r="F381" s="55"/>
      <c r="G381" s="56"/>
      <c r="H381" s="57"/>
      <c r="I381" s="57"/>
      <c r="J381" s="28"/>
    </row>
    <row r="382" customFormat="false" ht="15" hidden="false" customHeight="false" outlineLevel="0" collapsed="false">
      <c r="F382" s="55"/>
      <c r="H382" s="57"/>
      <c r="I382" s="28"/>
      <c r="J382" s="28"/>
    </row>
    <row r="383" customFormat="false" ht="15" hidden="false" customHeight="false" outlineLevel="0" collapsed="false">
      <c r="F383" s="55"/>
      <c r="H383" s="57"/>
      <c r="I383" s="28"/>
      <c r="J383" s="28"/>
    </row>
    <row r="384" customFormat="false" ht="15" hidden="false" customHeight="false" outlineLevel="0" collapsed="false">
      <c r="F384" s="55"/>
      <c r="H384" s="57"/>
      <c r="I384" s="28"/>
      <c r="J384" s="28"/>
    </row>
    <row r="385" customFormat="false" ht="15" hidden="false" customHeight="false" outlineLevel="0" collapsed="false">
      <c r="F385" s="55"/>
      <c r="H385" s="57"/>
      <c r="I385" s="28"/>
      <c r="J385" s="28"/>
    </row>
    <row r="386" customFormat="false" ht="15" hidden="false" customHeight="false" outlineLevel="0" collapsed="false">
      <c r="F386" s="55"/>
      <c r="H386" s="57"/>
      <c r="I386" s="28"/>
      <c r="J386" s="28"/>
    </row>
    <row r="387" customFormat="false" ht="15" hidden="false" customHeight="false" outlineLevel="0" collapsed="false">
      <c r="J387" s="53"/>
    </row>
    <row r="388" customFormat="false" ht="15" hidden="false" customHeight="false" outlineLevel="0" collapsed="false">
      <c r="B388" s="54"/>
    </row>
    <row r="389" customFormat="false" ht="15" hidden="false" customHeight="false" outlineLevel="0" collapsed="false">
      <c r="F389" s="55"/>
      <c r="H389" s="57"/>
      <c r="I389" s="28"/>
      <c r="J389" s="28"/>
    </row>
    <row r="390" customFormat="false" ht="15" hidden="false" customHeight="false" outlineLevel="0" collapsed="false">
      <c r="I390" s="14"/>
      <c r="J390" s="53"/>
    </row>
    <row r="392" customFormat="false" ht="15" hidden="false" customHeight="false" outlineLevel="0" collapsed="false">
      <c r="A392" s="14"/>
      <c r="B392" s="14"/>
      <c r="C392" s="14"/>
      <c r="D392" s="14"/>
    </row>
    <row r="393" customFormat="false" ht="15" hidden="false" customHeight="false" outlineLevel="0" collapsed="false">
      <c r="A393" s="14"/>
      <c r="B393" s="14"/>
      <c r="C393" s="36"/>
      <c r="D393" s="52"/>
      <c r="E393" s="36"/>
      <c r="F393" s="52"/>
      <c r="G393" s="14"/>
      <c r="I393" s="36"/>
      <c r="J393" s="53"/>
    </row>
    <row r="394" customFormat="false" ht="15" hidden="false" customHeight="false" outlineLevel="0" collapsed="false">
      <c r="A394" s="14"/>
      <c r="B394" s="14"/>
      <c r="F394" s="36"/>
      <c r="G394" s="36"/>
      <c r="H394" s="36"/>
      <c r="I394" s="36"/>
      <c r="J394" s="36"/>
    </row>
    <row r="395" customFormat="false" ht="15" hidden="false" customHeight="false" outlineLevel="0" collapsed="false">
      <c r="B395" s="54"/>
    </row>
    <row r="396" customFormat="false" ht="15" hidden="false" customHeight="false" outlineLevel="0" collapsed="false">
      <c r="F396" s="55"/>
      <c r="G396" s="56"/>
      <c r="H396" s="57"/>
      <c r="J396" s="28"/>
    </row>
    <row r="397" customFormat="false" ht="15" hidden="false" customHeight="false" outlineLevel="0" collapsed="false">
      <c r="F397" s="55"/>
      <c r="G397" s="56"/>
      <c r="H397" s="57"/>
      <c r="I397" s="28"/>
      <c r="J397" s="28"/>
    </row>
    <row r="398" customFormat="false" ht="15" hidden="false" customHeight="false" outlineLevel="0" collapsed="false">
      <c r="F398" s="55"/>
      <c r="G398" s="56"/>
      <c r="H398" s="57"/>
      <c r="J398" s="28"/>
    </row>
    <row r="399" customFormat="false" ht="15" hidden="false" customHeight="false" outlineLevel="0" collapsed="false">
      <c r="F399" s="55"/>
      <c r="G399" s="56"/>
      <c r="H399" s="57"/>
      <c r="J399" s="53"/>
    </row>
    <row r="400" customFormat="false" ht="15" hidden="false" customHeight="false" outlineLevel="0" collapsed="false">
      <c r="B400" s="54"/>
      <c r="F400" s="55"/>
      <c r="G400" s="56"/>
      <c r="H400" s="57"/>
      <c r="I400" s="57"/>
      <c r="J400" s="28"/>
    </row>
    <row r="401" customFormat="false" ht="15" hidden="false" customHeight="false" outlineLevel="0" collapsed="false">
      <c r="F401" s="55"/>
      <c r="G401" s="56"/>
      <c r="H401" s="57"/>
      <c r="J401" s="28"/>
    </row>
    <row r="402" customFormat="false" ht="15" hidden="false" customHeight="false" outlineLevel="0" collapsed="false">
      <c r="F402" s="55"/>
      <c r="G402" s="56"/>
      <c r="H402" s="57"/>
      <c r="J402" s="28"/>
    </row>
    <row r="403" customFormat="false" ht="15" hidden="false" customHeight="false" outlineLevel="0" collapsed="false">
      <c r="F403" s="55"/>
      <c r="G403" s="56"/>
      <c r="H403" s="57"/>
      <c r="J403" s="28"/>
    </row>
    <row r="404" customFormat="false" ht="15" hidden="false" customHeight="false" outlineLevel="0" collapsed="false">
      <c r="F404" s="55"/>
      <c r="G404" s="56"/>
      <c r="H404" s="57"/>
      <c r="J404" s="28"/>
    </row>
    <row r="405" customFormat="false" ht="15" hidden="false" customHeight="false" outlineLevel="0" collapsed="false">
      <c r="J405" s="53"/>
    </row>
    <row r="406" customFormat="false" ht="15" hidden="false" customHeight="false" outlineLevel="0" collapsed="false">
      <c r="B406" s="54"/>
    </row>
    <row r="407" customFormat="false" ht="15" hidden="false" customHeight="false" outlineLevel="0" collapsed="false">
      <c r="F407" s="55"/>
      <c r="H407" s="57"/>
      <c r="I407" s="28"/>
      <c r="J407" s="28"/>
    </row>
    <row r="408" customFormat="false" ht="15" hidden="false" customHeight="false" outlineLevel="0" collapsed="false">
      <c r="I408" s="14"/>
      <c r="J408" s="53"/>
    </row>
    <row r="410" customFormat="false" ht="15" hidden="false" customHeight="false" outlineLevel="0" collapsed="false">
      <c r="A410" s="14"/>
      <c r="B410" s="14"/>
      <c r="C410" s="14"/>
      <c r="D410" s="14"/>
    </row>
    <row r="411" customFormat="false" ht="15" hidden="false" customHeight="false" outlineLevel="0" collapsed="false">
      <c r="A411" s="14"/>
      <c r="B411" s="14"/>
      <c r="C411" s="36"/>
      <c r="D411" s="52"/>
      <c r="E411" s="36"/>
      <c r="F411" s="52"/>
      <c r="G411" s="14"/>
      <c r="I411" s="36"/>
      <c r="J411" s="53"/>
    </row>
    <row r="412" customFormat="false" ht="15" hidden="false" customHeight="false" outlineLevel="0" collapsed="false">
      <c r="A412" s="14"/>
      <c r="B412" s="14"/>
      <c r="F412" s="36"/>
      <c r="G412" s="36"/>
      <c r="H412" s="36"/>
      <c r="I412" s="36"/>
      <c r="J412" s="36"/>
    </row>
    <row r="413" customFormat="false" ht="15" hidden="false" customHeight="false" outlineLevel="0" collapsed="false">
      <c r="B413" s="54"/>
    </row>
    <row r="414" customFormat="false" ht="15" hidden="false" customHeight="false" outlineLevel="0" collapsed="false">
      <c r="F414" s="55"/>
      <c r="G414" s="56"/>
      <c r="H414" s="57"/>
      <c r="J414" s="28"/>
    </row>
    <row r="415" customFormat="false" ht="15" hidden="false" customHeight="false" outlineLevel="0" collapsed="false">
      <c r="F415" s="55"/>
      <c r="G415" s="56"/>
      <c r="H415" s="57"/>
      <c r="I415" s="28"/>
      <c r="J415" s="28"/>
    </row>
    <row r="416" customFormat="false" ht="15" hidden="false" customHeight="false" outlineLevel="0" collapsed="false">
      <c r="F416" s="55"/>
      <c r="G416" s="56"/>
      <c r="H416" s="57"/>
      <c r="J416" s="28"/>
    </row>
    <row r="417" customFormat="false" ht="15" hidden="false" customHeight="false" outlineLevel="0" collapsed="false">
      <c r="F417" s="55"/>
      <c r="G417" s="56"/>
      <c r="H417" s="57"/>
      <c r="J417" s="53"/>
    </row>
    <row r="418" customFormat="false" ht="15" hidden="false" customHeight="false" outlineLevel="0" collapsed="false">
      <c r="B418" s="54"/>
      <c r="F418" s="55"/>
      <c r="G418" s="56"/>
      <c r="H418" s="57"/>
      <c r="I418" s="57"/>
      <c r="J418" s="28"/>
    </row>
    <row r="419" customFormat="false" ht="15" hidden="false" customHeight="false" outlineLevel="0" collapsed="false">
      <c r="F419" s="55"/>
      <c r="G419" s="56"/>
      <c r="H419" s="57"/>
      <c r="J419" s="28"/>
    </row>
    <row r="420" customFormat="false" ht="15" hidden="false" customHeight="false" outlineLevel="0" collapsed="false">
      <c r="F420" s="55"/>
      <c r="G420" s="56"/>
      <c r="H420" s="57"/>
      <c r="J420" s="28"/>
    </row>
    <row r="421" customFormat="false" ht="15" hidden="false" customHeight="false" outlineLevel="0" collapsed="false">
      <c r="F421" s="55"/>
      <c r="G421" s="56"/>
      <c r="H421" s="57"/>
      <c r="J421" s="28"/>
    </row>
    <row r="422" customFormat="false" ht="15" hidden="false" customHeight="false" outlineLevel="0" collapsed="false">
      <c r="F422" s="55"/>
      <c r="G422" s="56"/>
      <c r="H422" s="57"/>
      <c r="J422" s="28"/>
    </row>
    <row r="423" customFormat="false" ht="15" hidden="false" customHeight="false" outlineLevel="0" collapsed="false">
      <c r="J423" s="53"/>
    </row>
    <row r="424" customFormat="false" ht="15" hidden="false" customHeight="false" outlineLevel="0" collapsed="false">
      <c r="B424" s="54"/>
    </row>
    <row r="425" customFormat="false" ht="15" hidden="false" customHeight="false" outlineLevel="0" collapsed="false">
      <c r="F425" s="55"/>
      <c r="H425" s="57"/>
      <c r="I425" s="28"/>
      <c r="J425" s="28"/>
    </row>
    <row r="426" customFormat="false" ht="15" hidden="false" customHeight="false" outlineLevel="0" collapsed="false">
      <c r="I426" s="14"/>
      <c r="J426" s="53"/>
    </row>
    <row r="428" customFormat="false" ht="15" hidden="false" customHeight="false" outlineLevel="0" collapsed="false">
      <c r="A428" s="14"/>
      <c r="B428" s="14"/>
      <c r="C428" s="14"/>
      <c r="D428" s="14"/>
    </row>
    <row r="429" customFormat="false" ht="15" hidden="false" customHeight="false" outlineLevel="0" collapsed="false">
      <c r="A429" s="14"/>
      <c r="B429" s="14"/>
      <c r="C429" s="36"/>
      <c r="D429" s="52"/>
      <c r="E429" s="36"/>
      <c r="F429" s="52"/>
      <c r="G429" s="14"/>
      <c r="I429" s="36"/>
      <c r="J429" s="53"/>
    </row>
    <row r="430" customFormat="false" ht="15" hidden="false" customHeight="false" outlineLevel="0" collapsed="false">
      <c r="A430" s="14"/>
      <c r="B430" s="14"/>
      <c r="F430" s="36"/>
      <c r="G430" s="36"/>
      <c r="H430" s="36"/>
      <c r="I430" s="36"/>
      <c r="J430" s="36"/>
    </row>
    <row r="431" customFormat="false" ht="15" hidden="false" customHeight="false" outlineLevel="0" collapsed="false">
      <c r="B431" s="54"/>
    </row>
    <row r="432" customFormat="false" ht="15" hidden="false" customHeight="false" outlineLevel="0" collapsed="false">
      <c r="F432" s="55"/>
      <c r="G432" s="56"/>
      <c r="H432" s="57"/>
      <c r="J432" s="28"/>
    </row>
    <row r="433" customFormat="false" ht="15" hidden="false" customHeight="false" outlineLevel="0" collapsed="false">
      <c r="F433" s="55"/>
      <c r="G433" s="56"/>
      <c r="H433" s="57"/>
      <c r="I433" s="28"/>
      <c r="J433" s="28"/>
    </row>
    <row r="434" customFormat="false" ht="15" hidden="false" customHeight="false" outlineLevel="0" collapsed="false">
      <c r="F434" s="55"/>
      <c r="G434" s="56"/>
      <c r="H434" s="57"/>
      <c r="J434" s="28"/>
    </row>
    <row r="435" customFormat="false" ht="15" hidden="false" customHeight="false" outlineLevel="0" collapsed="false">
      <c r="F435" s="55"/>
      <c r="G435" s="56"/>
      <c r="H435" s="57"/>
      <c r="J435" s="53"/>
    </row>
    <row r="436" customFormat="false" ht="15" hidden="false" customHeight="false" outlineLevel="0" collapsed="false">
      <c r="B436" s="54"/>
      <c r="F436" s="55"/>
      <c r="G436" s="56"/>
      <c r="H436" s="57"/>
      <c r="I436" s="57"/>
      <c r="J436" s="28"/>
    </row>
    <row r="437" customFormat="false" ht="15" hidden="false" customHeight="false" outlineLevel="0" collapsed="false">
      <c r="F437" s="55"/>
      <c r="G437" s="56"/>
      <c r="H437" s="57"/>
      <c r="J437" s="28"/>
    </row>
    <row r="438" customFormat="false" ht="15" hidden="false" customHeight="false" outlineLevel="0" collapsed="false">
      <c r="F438" s="55"/>
      <c r="G438" s="56"/>
      <c r="H438" s="57"/>
      <c r="J438" s="28"/>
    </row>
    <row r="439" customFormat="false" ht="15" hidden="false" customHeight="false" outlineLevel="0" collapsed="false">
      <c r="F439" s="55"/>
      <c r="G439" s="56"/>
      <c r="H439" s="57"/>
      <c r="J439" s="28"/>
    </row>
    <row r="440" customFormat="false" ht="15" hidden="false" customHeight="false" outlineLevel="0" collapsed="false">
      <c r="F440" s="55"/>
      <c r="G440" s="56"/>
      <c r="H440" s="57"/>
      <c r="J440" s="28"/>
    </row>
    <row r="441" customFormat="false" ht="15" hidden="false" customHeight="false" outlineLevel="0" collapsed="false">
      <c r="J441" s="53"/>
    </row>
    <row r="442" customFormat="false" ht="15" hidden="false" customHeight="false" outlineLevel="0" collapsed="false">
      <c r="B442" s="54"/>
    </row>
    <row r="443" customFormat="false" ht="15" hidden="false" customHeight="false" outlineLevel="0" collapsed="false">
      <c r="F443" s="55"/>
      <c r="H443" s="57"/>
      <c r="I443" s="28"/>
      <c r="J443" s="28"/>
    </row>
    <row r="444" customFormat="false" ht="15" hidden="false" customHeight="false" outlineLevel="0" collapsed="false">
      <c r="I444" s="14"/>
      <c r="J444" s="53"/>
    </row>
    <row r="446" customFormat="false" ht="15" hidden="false" customHeight="false" outlineLevel="0" collapsed="false">
      <c r="A446" s="14"/>
      <c r="B446" s="14"/>
      <c r="C446" s="14"/>
      <c r="D446" s="14"/>
    </row>
    <row r="447" customFormat="false" ht="15" hidden="false" customHeight="false" outlineLevel="0" collapsed="false">
      <c r="A447" s="14"/>
      <c r="B447" s="14"/>
      <c r="C447" s="36"/>
      <c r="D447" s="52"/>
      <c r="E447" s="36"/>
      <c r="F447" s="52"/>
      <c r="G447" s="14"/>
      <c r="I447" s="36"/>
      <c r="J447" s="53"/>
    </row>
    <row r="448" customFormat="false" ht="15" hidden="false" customHeight="false" outlineLevel="0" collapsed="false">
      <c r="A448" s="14"/>
      <c r="B448" s="14"/>
      <c r="F448" s="36"/>
      <c r="G448" s="36"/>
      <c r="H448" s="36"/>
      <c r="I448" s="36"/>
      <c r="J448" s="36"/>
    </row>
    <row r="449" customFormat="false" ht="15" hidden="false" customHeight="false" outlineLevel="0" collapsed="false">
      <c r="B449" s="54"/>
    </row>
    <row r="450" customFormat="false" ht="15" hidden="false" customHeight="false" outlineLevel="0" collapsed="false">
      <c r="F450" s="55"/>
      <c r="G450" s="56"/>
      <c r="H450" s="57"/>
      <c r="J450" s="28"/>
    </row>
    <row r="451" customFormat="false" ht="15" hidden="false" customHeight="false" outlineLevel="0" collapsed="false">
      <c r="F451" s="55"/>
      <c r="G451" s="56"/>
      <c r="H451" s="57"/>
      <c r="I451" s="28"/>
      <c r="J451" s="28"/>
    </row>
    <row r="452" customFormat="false" ht="15" hidden="false" customHeight="false" outlineLevel="0" collapsed="false">
      <c r="F452" s="55"/>
      <c r="G452" s="56"/>
      <c r="H452" s="57"/>
      <c r="J452" s="28"/>
    </row>
    <row r="453" customFormat="false" ht="15" hidden="false" customHeight="false" outlineLevel="0" collapsed="false">
      <c r="F453" s="55"/>
      <c r="G453" s="56"/>
      <c r="H453" s="57"/>
      <c r="J453" s="53"/>
    </row>
    <row r="454" customFormat="false" ht="15" hidden="false" customHeight="false" outlineLevel="0" collapsed="false">
      <c r="B454" s="54"/>
      <c r="F454" s="55"/>
      <c r="G454" s="56"/>
      <c r="H454" s="57"/>
      <c r="I454" s="57"/>
      <c r="J454" s="28"/>
    </row>
    <row r="455" customFormat="false" ht="15" hidden="false" customHeight="false" outlineLevel="0" collapsed="false">
      <c r="F455" s="55"/>
      <c r="G455" s="56"/>
      <c r="H455" s="57"/>
      <c r="J455" s="28"/>
    </row>
    <row r="456" customFormat="false" ht="15" hidden="false" customHeight="false" outlineLevel="0" collapsed="false">
      <c r="F456" s="55"/>
      <c r="G456" s="56"/>
      <c r="H456" s="57"/>
      <c r="J456" s="28"/>
    </row>
    <row r="457" customFormat="false" ht="15" hidden="false" customHeight="false" outlineLevel="0" collapsed="false">
      <c r="F457" s="55"/>
      <c r="G457" s="56"/>
      <c r="H457" s="57"/>
      <c r="J457" s="28"/>
    </row>
    <row r="458" customFormat="false" ht="15" hidden="false" customHeight="false" outlineLevel="0" collapsed="false">
      <c r="F458" s="55"/>
      <c r="G458" s="56"/>
      <c r="H458" s="57"/>
      <c r="J458" s="28"/>
    </row>
    <row r="459" customFormat="false" ht="15" hidden="false" customHeight="false" outlineLevel="0" collapsed="false">
      <c r="J459" s="53"/>
    </row>
    <row r="460" customFormat="false" ht="15" hidden="false" customHeight="false" outlineLevel="0" collapsed="false">
      <c r="B460" s="54"/>
    </row>
    <row r="461" customFormat="false" ht="15" hidden="false" customHeight="false" outlineLevel="0" collapsed="false">
      <c r="F461" s="55"/>
      <c r="H461" s="57"/>
      <c r="I461" s="28"/>
      <c r="J461" s="28"/>
    </row>
    <row r="462" customFormat="false" ht="15" hidden="false" customHeight="false" outlineLevel="0" collapsed="false">
      <c r="I462" s="14"/>
      <c r="J462" s="53"/>
    </row>
    <row r="464" customFormat="false" ht="15" hidden="false" customHeight="false" outlineLevel="0" collapsed="false">
      <c r="A464" s="14"/>
      <c r="B464" s="14"/>
      <c r="C464" s="14"/>
      <c r="D464" s="14"/>
    </row>
    <row r="465" customFormat="false" ht="15" hidden="false" customHeight="false" outlineLevel="0" collapsed="false">
      <c r="A465" s="14"/>
      <c r="B465" s="14"/>
      <c r="C465" s="36"/>
      <c r="D465" s="52"/>
      <c r="E465" s="36"/>
      <c r="F465" s="52"/>
      <c r="G465" s="14"/>
      <c r="I465" s="36"/>
      <c r="J465" s="53"/>
    </row>
    <row r="466" customFormat="false" ht="15" hidden="false" customHeight="false" outlineLevel="0" collapsed="false">
      <c r="A466" s="14"/>
      <c r="B466" s="14"/>
      <c r="F466" s="36"/>
      <c r="G466" s="36"/>
      <c r="H466" s="36"/>
      <c r="I466" s="36"/>
      <c r="J466" s="36"/>
    </row>
    <row r="467" customFormat="false" ht="15" hidden="false" customHeight="false" outlineLevel="0" collapsed="false">
      <c r="B467" s="54"/>
    </row>
    <row r="468" customFormat="false" ht="15" hidden="false" customHeight="false" outlineLevel="0" collapsed="false">
      <c r="F468" s="55"/>
      <c r="G468" s="56"/>
      <c r="H468" s="57"/>
      <c r="J468" s="28"/>
    </row>
    <row r="469" customFormat="false" ht="15" hidden="false" customHeight="false" outlineLevel="0" collapsed="false">
      <c r="F469" s="55"/>
      <c r="G469" s="56"/>
      <c r="H469" s="57"/>
      <c r="I469" s="28"/>
      <c r="J469" s="28"/>
    </row>
    <row r="470" customFormat="false" ht="15" hidden="false" customHeight="false" outlineLevel="0" collapsed="false">
      <c r="F470" s="55"/>
      <c r="G470" s="56"/>
      <c r="H470" s="57"/>
      <c r="J470" s="28"/>
    </row>
    <row r="471" customFormat="false" ht="15" hidden="false" customHeight="false" outlineLevel="0" collapsed="false">
      <c r="F471" s="55"/>
      <c r="G471" s="56"/>
      <c r="H471" s="57"/>
      <c r="J471" s="53"/>
    </row>
    <row r="472" customFormat="false" ht="15" hidden="false" customHeight="false" outlineLevel="0" collapsed="false">
      <c r="B472" s="54"/>
      <c r="F472" s="55"/>
      <c r="G472" s="56"/>
      <c r="H472" s="57"/>
      <c r="I472" s="57"/>
      <c r="J472" s="28"/>
    </row>
    <row r="473" customFormat="false" ht="15" hidden="false" customHeight="false" outlineLevel="0" collapsed="false">
      <c r="F473" s="55"/>
      <c r="G473" s="56"/>
      <c r="H473" s="57"/>
      <c r="J473" s="28"/>
    </row>
    <row r="474" customFormat="false" ht="15" hidden="false" customHeight="false" outlineLevel="0" collapsed="false">
      <c r="J474" s="53"/>
    </row>
    <row r="475" customFormat="false" ht="15" hidden="false" customHeight="false" outlineLevel="0" collapsed="false">
      <c r="B475" s="54"/>
    </row>
    <row r="476" customFormat="false" ht="15" hidden="false" customHeight="false" outlineLevel="0" collapsed="false">
      <c r="F476" s="55"/>
      <c r="H476" s="57"/>
      <c r="I476" s="28"/>
      <c r="J476" s="28"/>
    </row>
    <row r="477" customFormat="false" ht="15" hidden="false" customHeight="false" outlineLevel="0" collapsed="false">
      <c r="I477" s="14"/>
      <c r="J477" s="53"/>
    </row>
    <row r="479" customFormat="false" ht="15" hidden="false" customHeight="false" outlineLevel="0" collapsed="false">
      <c r="A479" s="14"/>
      <c r="B479" s="14"/>
      <c r="C479" s="14"/>
      <c r="D479" s="14"/>
    </row>
    <row r="480" customFormat="false" ht="15" hidden="false" customHeight="false" outlineLevel="0" collapsed="false">
      <c r="A480" s="14"/>
      <c r="B480" s="14"/>
      <c r="C480" s="36"/>
      <c r="D480" s="52"/>
      <c r="E480" s="36"/>
      <c r="F480" s="52"/>
      <c r="G480" s="14"/>
      <c r="I480" s="36"/>
      <c r="J480" s="53"/>
    </row>
    <row r="481" customFormat="false" ht="15" hidden="false" customHeight="false" outlineLevel="0" collapsed="false">
      <c r="A481" s="14"/>
      <c r="B481" s="14"/>
      <c r="F481" s="36"/>
      <c r="G481" s="36"/>
      <c r="H481" s="36"/>
      <c r="I481" s="36"/>
      <c r="J481" s="36"/>
    </row>
    <row r="482" customFormat="false" ht="15" hidden="false" customHeight="false" outlineLevel="0" collapsed="false">
      <c r="B482" s="54"/>
    </row>
    <row r="483" customFormat="false" ht="15" hidden="false" customHeight="false" outlineLevel="0" collapsed="false">
      <c r="F483" s="55"/>
      <c r="G483" s="56"/>
      <c r="H483" s="57"/>
      <c r="J483" s="28"/>
    </row>
    <row r="484" customFormat="false" ht="15" hidden="false" customHeight="false" outlineLevel="0" collapsed="false">
      <c r="F484" s="55"/>
      <c r="G484" s="56"/>
      <c r="H484" s="57"/>
      <c r="I484" s="28"/>
      <c r="J484" s="28"/>
    </row>
    <row r="485" customFormat="false" ht="15" hidden="false" customHeight="false" outlineLevel="0" collapsed="false">
      <c r="F485" s="55"/>
      <c r="G485" s="56"/>
      <c r="H485" s="57"/>
      <c r="J485" s="28"/>
    </row>
    <row r="486" customFormat="false" ht="15" hidden="false" customHeight="false" outlineLevel="0" collapsed="false">
      <c r="F486" s="55"/>
      <c r="G486" s="56"/>
      <c r="H486" s="57"/>
      <c r="J486" s="53"/>
    </row>
    <row r="487" customFormat="false" ht="15" hidden="false" customHeight="false" outlineLevel="0" collapsed="false">
      <c r="B487" s="54"/>
      <c r="F487" s="55"/>
      <c r="G487" s="56"/>
      <c r="H487" s="57"/>
      <c r="I487" s="57"/>
      <c r="J487" s="28"/>
    </row>
    <row r="488" customFormat="false" ht="15" hidden="false" customHeight="false" outlineLevel="0" collapsed="false">
      <c r="F488" s="55"/>
      <c r="G488" s="56"/>
      <c r="H488" s="57"/>
      <c r="J488" s="28"/>
    </row>
    <row r="489" customFormat="false" ht="15" hidden="false" customHeight="false" outlineLevel="0" collapsed="false">
      <c r="J489" s="53"/>
    </row>
    <row r="490" customFormat="false" ht="15" hidden="false" customHeight="false" outlineLevel="0" collapsed="false">
      <c r="B490" s="54"/>
    </row>
    <row r="491" customFormat="false" ht="15" hidden="false" customHeight="false" outlineLevel="0" collapsed="false">
      <c r="F491" s="55"/>
      <c r="H491" s="57"/>
      <c r="I491" s="28"/>
      <c r="J491" s="28"/>
    </row>
    <row r="492" customFormat="false" ht="15" hidden="false" customHeight="false" outlineLevel="0" collapsed="false">
      <c r="I492" s="14"/>
      <c r="J492" s="53"/>
    </row>
    <row r="493" customFormat="false" ht="15" hidden="false" customHeight="false" outlineLevel="0" collapsed="false">
      <c r="F493" s="55"/>
      <c r="G493" s="56"/>
      <c r="H493" s="57"/>
      <c r="J493" s="28"/>
    </row>
    <row r="494" customFormat="false" ht="15" hidden="false" customHeight="false" outlineLevel="0" collapsed="false">
      <c r="A494" s="14"/>
      <c r="B494" s="14"/>
      <c r="C494" s="14"/>
      <c r="D494" s="14"/>
    </row>
    <row r="495" customFormat="false" ht="15" hidden="false" customHeight="false" outlineLevel="0" collapsed="false">
      <c r="A495" s="14"/>
      <c r="B495" s="14"/>
      <c r="C495" s="36"/>
      <c r="D495" s="52"/>
      <c r="E495" s="36"/>
      <c r="F495" s="52"/>
      <c r="G495" s="14"/>
      <c r="I495" s="36"/>
      <c r="J495" s="53"/>
    </row>
    <row r="496" customFormat="false" ht="15" hidden="false" customHeight="false" outlineLevel="0" collapsed="false">
      <c r="A496" s="14"/>
      <c r="B496" s="14"/>
      <c r="F496" s="36"/>
      <c r="G496" s="36"/>
      <c r="H496" s="36"/>
      <c r="I496" s="36"/>
      <c r="J496" s="36"/>
    </row>
    <row r="497" customFormat="false" ht="15" hidden="false" customHeight="false" outlineLevel="0" collapsed="false">
      <c r="B497" s="54"/>
    </row>
    <row r="498" customFormat="false" ht="15" hidden="false" customHeight="false" outlineLevel="0" collapsed="false">
      <c r="F498" s="55"/>
      <c r="G498" s="56"/>
      <c r="H498" s="57"/>
      <c r="J498" s="28"/>
    </row>
    <row r="499" customFormat="false" ht="15" hidden="false" customHeight="false" outlineLevel="0" collapsed="false">
      <c r="F499" s="55"/>
      <c r="G499" s="56"/>
      <c r="H499" s="57"/>
      <c r="I499" s="28"/>
      <c r="J499" s="28"/>
    </row>
    <row r="500" customFormat="false" ht="15" hidden="false" customHeight="false" outlineLevel="0" collapsed="false">
      <c r="F500" s="55"/>
      <c r="G500" s="56"/>
      <c r="H500" s="57"/>
      <c r="J500" s="28"/>
    </row>
    <row r="501" customFormat="false" ht="15" hidden="false" customHeight="false" outlineLevel="0" collapsed="false">
      <c r="F501" s="55"/>
      <c r="G501" s="56"/>
      <c r="H501" s="57"/>
      <c r="J501" s="53"/>
    </row>
    <row r="502" customFormat="false" ht="15" hidden="false" customHeight="false" outlineLevel="0" collapsed="false">
      <c r="B502" s="54"/>
      <c r="F502" s="55"/>
      <c r="G502" s="56"/>
      <c r="H502" s="57"/>
      <c r="I502" s="57"/>
      <c r="J502" s="28"/>
    </row>
    <row r="503" customFormat="false" ht="15" hidden="false" customHeight="false" outlineLevel="0" collapsed="false">
      <c r="F503" s="55"/>
      <c r="G503" s="56"/>
      <c r="H503" s="57"/>
      <c r="J503" s="28"/>
    </row>
    <row r="504" customFormat="false" ht="15" hidden="false" customHeight="false" outlineLevel="0" collapsed="false">
      <c r="J504" s="53"/>
    </row>
    <row r="505" customFormat="false" ht="15" hidden="false" customHeight="false" outlineLevel="0" collapsed="false">
      <c r="B505" s="54"/>
    </row>
    <row r="506" customFormat="false" ht="15" hidden="false" customHeight="false" outlineLevel="0" collapsed="false">
      <c r="F506" s="55"/>
      <c r="H506" s="57"/>
      <c r="I506" s="28"/>
      <c r="J506" s="28"/>
    </row>
    <row r="507" customFormat="false" ht="15" hidden="false" customHeight="false" outlineLevel="0" collapsed="false">
      <c r="I507" s="14"/>
      <c r="J507" s="53"/>
    </row>
    <row r="509" customFormat="false" ht="15" hidden="false" customHeight="false" outlineLevel="0" collapsed="false">
      <c r="A509" s="14"/>
      <c r="B509" s="14"/>
      <c r="C509" s="14"/>
      <c r="D509" s="14"/>
    </row>
    <row r="510" customFormat="false" ht="15" hidden="false" customHeight="false" outlineLevel="0" collapsed="false">
      <c r="A510" s="14"/>
      <c r="B510" s="14"/>
      <c r="C510" s="36"/>
      <c r="D510" s="52"/>
      <c r="E510" s="36"/>
      <c r="F510" s="52"/>
      <c r="G510" s="14"/>
      <c r="I510" s="36"/>
      <c r="J510" s="53"/>
    </row>
    <row r="511" customFormat="false" ht="15" hidden="false" customHeight="false" outlineLevel="0" collapsed="false">
      <c r="A511" s="14"/>
      <c r="B511" s="14"/>
      <c r="F511" s="36"/>
      <c r="G511" s="36"/>
      <c r="H511" s="36"/>
      <c r="I511" s="36"/>
      <c r="J511" s="36"/>
    </row>
    <row r="512" customFormat="false" ht="15" hidden="false" customHeight="false" outlineLevel="0" collapsed="false">
      <c r="B512" s="54"/>
    </row>
    <row r="513" customFormat="false" ht="15" hidden="false" customHeight="false" outlineLevel="0" collapsed="false">
      <c r="F513" s="55"/>
      <c r="G513" s="56"/>
      <c r="H513" s="57"/>
      <c r="J513" s="28"/>
    </row>
    <row r="514" customFormat="false" ht="15" hidden="false" customHeight="false" outlineLevel="0" collapsed="false">
      <c r="F514" s="55"/>
      <c r="G514" s="56"/>
      <c r="H514" s="57"/>
      <c r="I514" s="28"/>
      <c r="J514" s="28"/>
    </row>
    <row r="515" customFormat="false" ht="15" hidden="false" customHeight="false" outlineLevel="0" collapsed="false">
      <c r="F515" s="55"/>
      <c r="G515" s="56"/>
      <c r="H515" s="57"/>
      <c r="J515" s="28"/>
    </row>
    <row r="516" customFormat="false" ht="15" hidden="false" customHeight="false" outlineLevel="0" collapsed="false">
      <c r="F516" s="55"/>
      <c r="G516" s="56"/>
      <c r="H516" s="57"/>
      <c r="J516" s="53"/>
    </row>
    <row r="517" customFormat="false" ht="15" hidden="false" customHeight="false" outlineLevel="0" collapsed="false">
      <c r="B517" s="54"/>
      <c r="F517" s="55"/>
      <c r="G517" s="56"/>
      <c r="H517" s="57"/>
      <c r="I517" s="57"/>
      <c r="J517" s="28"/>
    </row>
    <row r="518" customFormat="false" ht="15" hidden="false" customHeight="false" outlineLevel="0" collapsed="false">
      <c r="F518" s="55"/>
      <c r="G518" s="56"/>
      <c r="H518" s="57"/>
      <c r="J518" s="28"/>
    </row>
    <row r="519" customFormat="false" ht="15" hidden="false" customHeight="false" outlineLevel="0" collapsed="false">
      <c r="J519" s="53"/>
    </row>
    <row r="520" customFormat="false" ht="15" hidden="false" customHeight="false" outlineLevel="0" collapsed="false">
      <c r="B520" s="54"/>
    </row>
    <row r="521" customFormat="false" ht="15" hidden="false" customHeight="false" outlineLevel="0" collapsed="false">
      <c r="F521" s="55"/>
      <c r="H521" s="57"/>
      <c r="I521" s="28"/>
      <c r="J521" s="28"/>
    </row>
    <row r="522" customFormat="false" ht="15" hidden="false" customHeight="false" outlineLevel="0" collapsed="false">
      <c r="I522" s="14"/>
      <c r="J522" s="53"/>
    </row>
    <row r="524" customFormat="false" ht="15" hidden="false" customHeight="false" outlineLevel="0" collapsed="false">
      <c r="A524" s="14"/>
      <c r="B524" s="14"/>
      <c r="C524" s="14"/>
      <c r="D524" s="14"/>
    </row>
    <row r="525" customFormat="false" ht="15" hidden="false" customHeight="false" outlineLevel="0" collapsed="false">
      <c r="A525" s="14"/>
      <c r="B525" s="14"/>
      <c r="C525" s="36"/>
      <c r="D525" s="52"/>
      <c r="E525" s="36"/>
      <c r="F525" s="52"/>
      <c r="G525" s="14"/>
      <c r="I525" s="36"/>
      <c r="J525" s="53"/>
    </row>
    <row r="526" customFormat="false" ht="15" hidden="false" customHeight="false" outlineLevel="0" collapsed="false">
      <c r="A526" s="14"/>
      <c r="B526" s="14"/>
      <c r="F526" s="36"/>
      <c r="G526" s="36"/>
      <c r="H526" s="36"/>
      <c r="I526" s="36"/>
      <c r="J526" s="36"/>
    </row>
    <row r="527" customFormat="false" ht="15" hidden="false" customHeight="false" outlineLevel="0" collapsed="false">
      <c r="B527" s="54"/>
    </row>
    <row r="528" customFormat="false" ht="15" hidden="false" customHeight="false" outlineLevel="0" collapsed="false">
      <c r="F528" s="55"/>
      <c r="G528" s="56"/>
      <c r="H528" s="57"/>
      <c r="I528" s="28"/>
      <c r="J528" s="28"/>
    </row>
    <row r="529" customFormat="false" ht="15" hidden="false" customHeight="false" outlineLevel="0" collapsed="false">
      <c r="F529" s="55"/>
      <c r="G529" s="56"/>
      <c r="H529" s="57"/>
      <c r="J529" s="28"/>
    </row>
    <row r="530" customFormat="false" ht="15" hidden="false" customHeight="false" outlineLevel="0" collapsed="false">
      <c r="F530" s="55"/>
      <c r="G530" s="56"/>
      <c r="H530" s="57"/>
      <c r="J530" s="53"/>
    </row>
    <row r="531" customFormat="false" ht="15" hidden="false" customHeight="false" outlineLevel="0" collapsed="false">
      <c r="B531" s="54"/>
      <c r="F531" s="55"/>
      <c r="G531" s="56"/>
      <c r="H531" s="57"/>
      <c r="I531" s="57"/>
      <c r="J531" s="28"/>
    </row>
    <row r="532" customFormat="false" ht="15" hidden="false" customHeight="false" outlineLevel="0" collapsed="false">
      <c r="F532" s="55"/>
      <c r="G532" s="56"/>
      <c r="H532" s="57"/>
      <c r="J532" s="28"/>
    </row>
    <row r="533" customFormat="false" ht="15" hidden="false" customHeight="false" outlineLevel="0" collapsed="false">
      <c r="J533" s="53"/>
    </row>
    <row r="534" customFormat="false" ht="15" hidden="false" customHeight="false" outlineLevel="0" collapsed="false">
      <c r="B534" s="54"/>
    </row>
    <row r="535" customFormat="false" ht="15" hidden="false" customHeight="false" outlineLevel="0" collapsed="false">
      <c r="F535" s="55"/>
      <c r="H535" s="57"/>
      <c r="I535" s="28"/>
      <c r="J535" s="28"/>
    </row>
    <row r="536" customFormat="false" ht="15" hidden="false" customHeight="false" outlineLevel="0" collapsed="false">
      <c r="I536" s="14"/>
      <c r="J536" s="53"/>
    </row>
    <row r="538" customFormat="false" ht="15" hidden="false" customHeight="false" outlineLevel="0" collapsed="false">
      <c r="A538" s="14"/>
      <c r="B538" s="14"/>
      <c r="C538" s="14"/>
      <c r="D538" s="14"/>
    </row>
    <row r="539" customFormat="false" ht="15" hidden="false" customHeight="false" outlineLevel="0" collapsed="false">
      <c r="A539" s="14"/>
      <c r="B539" s="14"/>
      <c r="C539" s="36"/>
      <c r="D539" s="52"/>
      <c r="E539" s="36"/>
      <c r="F539" s="52"/>
      <c r="G539" s="14"/>
      <c r="I539" s="36"/>
      <c r="J539" s="53"/>
    </row>
    <row r="540" customFormat="false" ht="15" hidden="false" customHeight="false" outlineLevel="0" collapsed="false">
      <c r="A540" s="14"/>
      <c r="B540" s="14"/>
      <c r="F540" s="36"/>
      <c r="G540" s="36"/>
      <c r="H540" s="36"/>
      <c r="I540" s="36"/>
      <c r="J540" s="36"/>
    </row>
    <row r="541" customFormat="false" ht="15" hidden="false" customHeight="false" outlineLevel="0" collapsed="false">
      <c r="B541" s="54"/>
    </row>
    <row r="542" customFormat="false" ht="15" hidden="false" customHeight="false" outlineLevel="0" collapsed="false">
      <c r="F542" s="55"/>
      <c r="G542" s="56"/>
      <c r="H542" s="57"/>
      <c r="I542" s="28"/>
      <c r="J542" s="28"/>
    </row>
    <row r="543" customFormat="false" ht="15" hidden="false" customHeight="false" outlineLevel="0" collapsed="false">
      <c r="F543" s="55"/>
      <c r="G543" s="56"/>
      <c r="H543" s="57"/>
      <c r="J543" s="28"/>
    </row>
    <row r="544" customFormat="false" ht="15" hidden="false" customHeight="false" outlineLevel="0" collapsed="false">
      <c r="F544" s="55"/>
      <c r="G544" s="56"/>
      <c r="H544" s="57"/>
      <c r="J544" s="53"/>
    </row>
    <row r="545" customFormat="false" ht="15" hidden="false" customHeight="false" outlineLevel="0" collapsed="false">
      <c r="B545" s="54"/>
      <c r="F545" s="55"/>
      <c r="G545" s="56"/>
      <c r="H545" s="57"/>
      <c r="I545" s="57"/>
      <c r="J545" s="28"/>
    </row>
    <row r="546" customFormat="false" ht="15" hidden="false" customHeight="false" outlineLevel="0" collapsed="false">
      <c r="F546" s="55"/>
      <c r="G546" s="56"/>
      <c r="H546" s="57"/>
      <c r="J546" s="28"/>
    </row>
    <row r="547" customFormat="false" ht="15" hidden="false" customHeight="false" outlineLevel="0" collapsed="false">
      <c r="J547" s="53"/>
    </row>
    <row r="548" customFormat="false" ht="15" hidden="false" customHeight="false" outlineLevel="0" collapsed="false">
      <c r="B548" s="54"/>
    </row>
    <row r="549" customFormat="false" ht="15" hidden="false" customHeight="false" outlineLevel="0" collapsed="false">
      <c r="F549" s="55"/>
      <c r="H549" s="57"/>
      <c r="I549" s="28"/>
      <c r="J549" s="28"/>
    </row>
    <row r="550" customFormat="false" ht="15" hidden="false" customHeight="false" outlineLevel="0" collapsed="false">
      <c r="I550" s="14"/>
      <c r="J550" s="53"/>
    </row>
    <row r="551" customFormat="false" ht="15" hidden="false" customHeight="false" outlineLevel="0" collapsed="false">
      <c r="A551" s="136"/>
      <c r="B551" s="136"/>
      <c r="C551" s="136"/>
      <c r="D551" s="136"/>
      <c r="E551" s="136"/>
      <c r="F551" s="136"/>
      <c r="G551" s="136"/>
    </row>
    <row r="552" customFormat="false" ht="15" hidden="false" customHeight="false" outlineLevel="0" collapsed="false">
      <c r="A552" s="14"/>
      <c r="B552" s="14"/>
      <c r="C552" s="14"/>
      <c r="D552" s="14"/>
    </row>
    <row r="553" customFormat="false" ht="15" hidden="false" customHeight="false" outlineLevel="0" collapsed="false">
      <c r="A553" s="14"/>
      <c r="B553" s="14"/>
      <c r="C553" s="36"/>
      <c r="D553" s="52"/>
      <c r="E553" s="36"/>
      <c r="F553" s="52"/>
      <c r="G553" s="14"/>
      <c r="I553" s="36"/>
      <c r="J553" s="53"/>
    </row>
    <row r="554" customFormat="false" ht="15" hidden="false" customHeight="false" outlineLevel="0" collapsed="false">
      <c r="A554" s="14"/>
      <c r="B554" s="14"/>
      <c r="F554" s="36"/>
      <c r="G554" s="36"/>
      <c r="H554" s="36"/>
      <c r="I554" s="36"/>
      <c r="J554" s="36"/>
    </row>
    <row r="555" customFormat="false" ht="15" hidden="false" customHeight="false" outlineLevel="0" collapsed="false">
      <c r="B555" s="54"/>
    </row>
    <row r="556" customFormat="false" ht="15" hidden="false" customHeight="false" outlineLevel="0" collapsed="false">
      <c r="F556" s="55"/>
      <c r="G556" s="56"/>
      <c r="H556" s="57"/>
      <c r="I556" s="28"/>
      <c r="J556" s="28"/>
    </row>
    <row r="557" customFormat="false" ht="15" hidden="false" customHeight="false" outlineLevel="0" collapsed="false">
      <c r="F557" s="55"/>
      <c r="G557" s="56"/>
      <c r="H557" s="57"/>
      <c r="J557" s="28"/>
    </row>
    <row r="558" customFormat="false" ht="15" hidden="false" customHeight="false" outlineLevel="0" collapsed="false">
      <c r="F558" s="55"/>
      <c r="G558" s="56"/>
      <c r="H558" s="57"/>
      <c r="J558" s="53"/>
    </row>
    <row r="559" customFormat="false" ht="15" hidden="false" customHeight="false" outlineLevel="0" collapsed="false">
      <c r="B559" s="54"/>
      <c r="F559" s="55"/>
      <c r="G559" s="56"/>
      <c r="H559" s="57"/>
      <c r="I559" s="57"/>
      <c r="J559" s="28"/>
    </row>
    <row r="560" customFormat="false" ht="15" hidden="false" customHeight="false" outlineLevel="0" collapsed="false">
      <c r="F560" s="55"/>
      <c r="G560" s="56"/>
      <c r="H560" s="57"/>
      <c r="J560" s="28"/>
    </row>
    <row r="561" customFormat="false" ht="15" hidden="false" customHeight="false" outlineLevel="0" collapsed="false">
      <c r="J561" s="53"/>
    </row>
    <row r="562" customFormat="false" ht="15" hidden="false" customHeight="false" outlineLevel="0" collapsed="false">
      <c r="B562" s="54"/>
    </row>
    <row r="563" customFormat="false" ht="15" hidden="false" customHeight="false" outlineLevel="0" collapsed="false">
      <c r="F563" s="55"/>
      <c r="H563" s="57"/>
      <c r="I563" s="28"/>
      <c r="J563" s="28"/>
    </row>
    <row r="564" customFormat="false" ht="15" hidden="false" customHeight="false" outlineLevel="0" collapsed="false">
      <c r="I564" s="14"/>
      <c r="J564" s="53"/>
    </row>
    <row r="565" customFormat="false" ht="15" hidden="false" customHeight="false" outlineLevel="0" collapsed="false">
      <c r="A565" s="136"/>
      <c r="B565" s="136"/>
      <c r="C565" s="136"/>
      <c r="D565" s="136"/>
      <c r="E565" s="136"/>
      <c r="F565" s="136"/>
      <c r="G565" s="136"/>
    </row>
    <row r="566" customFormat="false" ht="15" hidden="false" customHeight="false" outlineLevel="0" collapsed="false">
      <c r="A566" s="14"/>
      <c r="B566" s="14"/>
      <c r="C566" s="14"/>
      <c r="D566" s="14"/>
    </row>
    <row r="567" customFormat="false" ht="15" hidden="false" customHeight="false" outlineLevel="0" collapsed="false">
      <c r="A567" s="14"/>
      <c r="B567" s="14"/>
      <c r="C567" s="36"/>
      <c r="D567" s="52"/>
      <c r="E567" s="36"/>
      <c r="F567" s="52"/>
      <c r="G567" s="14"/>
      <c r="I567" s="36"/>
      <c r="J567" s="53"/>
    </row>
    <row r="568" customFormat="false" ht="15" hidden="false" customHeight="false" outlineLevel="0" collapsed="false">
      <c r="A568" s="14"/>
      <c r="B568" s="14"/>
      <c r="F568" s="36"/>
      <c r="G568" s="36"/>
      <c r="H568" s="36"/>
      <c r="I568" s="36"/>
      <c r="J568" s="36"/>
    </row>
    <row r="569" customFormat="false" ht="15" hidden="false" customHeight="false" outlineLevel="0" collapsed="false">
      <c r="B569" s="54"/>
    </row>
    <row r="570" customFormat="false" ht="15" hidden="false" customHeight="false" outlineLevel="0" collapsed="false">
      <c r="F570" s="55"/>
      <c r="G570" s="56"/>
      <c r="H570" s="57"/>
      <c r="I570" s="28"/>
      <c r="J570" s="28"/>
    </row>
    <row r="571" customFormat="false" ht="15" hidden="false" customHeight="false" outlineLevel="0" collapsed="false">
      <c r="F571" s="55"/>
      <c r="G571" s="56"/>
      <c r="H571" s="57"/>
      <c r="J571" s="28"/>
    </row>
    <row r="572" customFormat="false" ht="15" hidden="false" customHeight="false" outlineLevel="0" collapsed="false">
      <c r="F572" s="55"/>
      <c r="G572" s="56"/>
      <c r="H572" s="57"/>
      <c r="J572" s="53"/>
    </row>
    <row r="573" customFormat="false" ht="15" hidden="false" customHeight="false" outlineLevel="0" collapsed="false">
      <c r="B573" s="54"/>
      <c r="F573" s="55"/>
      <c r="G573" s="56"/>
      <c r="H573" s="57"/>
      <c r="I573" s="57"/>
      <c r="J573" s="28"/>
    </row>
    <row r="574" customFormat="false" ht="15" hidden="false" customHeight="false" outlineLevel="0" collapsed="false">
      <c r="F574" s="55"/>
      <c r="G574" s="56"/>
      <c r="H574" s="57"/>
      <c r="J574" s="28"/>
    </row>
    <row r="575" customFormat="false" ht="15" hidden="false" customHeight="false" outlineLevel="0" collapsed="false">
      <c r="J575" s="53"/>
    </row>
    <row r="576" customFormat="false" ht="15" hidden="false" customHeight="false" outlineLevel="0" collapsed="false">
      <c r="B576" s="54"/>
    </row>
    <row r="577" customFormat="false" ht="15" hidden="false" customHeight="false" outlineLevel="0" collapsed="false">
      <c r="F577" s="55"/>
      <c r="H577" s="57"/>
      <c r="I577" s="28"/>
      <c r="J577" s="28"/>
    </row>
    <row r="578" customFormat="false" ht="15" hidden="false" customHeight="false" outlineLevel="0" collapsed="false">
      <c r="I578" s="14"/>
      <c r="J578" s="53"/>
    </row>
    <row r="579" customFormat="false" ht="15" hidden="false" customHeight="false" outlineLevel="0" collapsed="false">
      <c r="A579" s="136"/>
      <c r="B579" s="136"/>
      <c r="C579" s="136"/>
      <c r="D579" s="136"/>
      <c r="E579" s="136"/>
      <c r="F579" s="136"/>
      <c r="G579" s="137"/>
    </row>
    <row r="580" customFormat="false" ht="15" hidden="false" customHeight="false" outlineLevel="0" collapsed="false">
      <c r="A580" s="14"/>
      <c r="B580" s="14"/>
      <c r="C580" s="14"/>
      <c r="D580" s="14"/>
    </row>
    <row r="581" customFormat="false" ht="15" hidden="false" customHeight="false" outlineLevel="0" collapsed="false">
      <c r="A581" s="14"/>
      <c r="B581" s="14"/>
      <c r="C581" s="36"/>
      <c r="D581" s="52"/>
      <c r="E581" s="36"/>
      <c r="F581" s="52"/>
      <c r="G581" s="14"/>
      <c r="I581" s="36"/>
      <c r="J581" s="53"/>
    </row>
    <row r="582" customFormat="false" ht="15" hidden="false" customHeight="false" outlineLevel="0" collapsed="false">
      <c r="A582" s="14"/>
      <c r="B582" s="14"/>
      <c r="F582" s="36"/>
      <c r="G582" s="36"/>
      <c r="H582" s="36"/>
      <c r="I582" s="36"/>
      <c r="J582" s="36"/>
    </row>
    <row r="583" customFormat="false" ht="15" hidden="false" customHeight="false" outlineLevel="0" collapsed="false">
      <c r="B583" s="54"/>
    </row>
    <row r="584" customFormat="false" ht="15" hidden="false" customHeight="false" outlineLevel="0" collapsed="false">
      <c r="F584" s="55"/>
      <c r="G584" s="56"/>
      <c r="H584" s="57"/>
      <c r="I584" s="28"/>
      <c r="J584" s="28"/>
    </row>
    <row r="585" customFormat="false" ht="15" hidden="false" customHeight="false" outlineLevel="0" collapsed="false">
      <c r="F585" s="55"/>
      <c r="G585" s="56"/>
      <c r="H585" s="57"/>
      <c r="J585" s="28"/>
    </row>
    <row r="586" customFormat="false" ht="15" hidden="false" customHeight="false" outlineLevel="0" collapsed="false">
      <c r="F586" s="55"/>
      <c r="G586" s="56"/>
      <c r="H586" s="57"/>
      <c r="J586" s="53"/>
    </row>
    <row r="587" customFormat="false" ht="15" hidden="false" customHeight="false" outlineLevel="0" collapsed="false">
      <c r="B587" s="54"/>
      <c r="F587" s="55"/>
      <c r="G587" s="56"/>
      <c r="H587" s="57"/>
      <c r="I587" s="57"/>
      <c r="J587" s="28"/>
    </row>
    <row r="588" customFormat="false" ht="15" hidden="false" customHeight="false" outlineLevel="0" collapsed="false">
      <c r="F588" s="55"/>
      <c r="G588" s="56"/>
      <c r="H588" s="57"/>
      <c r="J588" s="28"/>
    </row>
    <row r="589" customFormat="false" ht="15" hidden="false" customHeight="false" outlineLevel="0" collapsed="false">
      <c r="J589" s="53"/>
    </row>
    <row r="590" customFormat="false" ht="15" hidden="false" customHeight="false" outlineLevel="0" collapsed="false">
      <c r="B590" s="54"/>
    </row>
    <row r="591" customFormat="false" ht="15" hidden="false" customHeight="false" outlineLevel="0" collapsed="false">
      <c r="F591" s="55"/>
      <c r="H591" s="57"/>
      <c r="I591" s="28"/>
      <c r="J591" s="28"/>
    </row>
    <row r="592" customFormat="false" ht="15" hidden="false" customHeight="false" outlineLevel="0" collapsed="false">
      <c r="I592" s="14"/>
      <c r="J592" s="53"/>
    </row>
    <row r="593" customFormat="false" ht="15" hidden="false" customHeight="false" outlineLevel="0" collapsed="false">
      <c r="A593" s="136"/>
      <c r="B593" s="136"/>
      <c r="C593" s="136"/>
      <c r="D593" s="136"/>
      <c r="E593" s="136"/>
      <c r="F593" s="136"/>
      <c r="G593" s="136"/>
    </row>
    <row r="594" customFormat="false" ht="15" hidden="false" customHeight="false" outlineLevel="0" collapsed="false">
      <c r="A594" s="14"/>
      <c r="B594" s="14"/>
      <c r="C594" s="14"/>
      <c r="D594" s="14"/>
    </row>
    <row r="595" customFormat="false" ht="15" hidden="false" customHeight="false" outlineLevel="0" collapsed="false">
      <c r="A595" s="14"/>
      <c r="B595" s="14"/>
      <c r="C595" s="36"/>
      <c r="D595" s="52"/>
      <c r="E595" s="36"/>
      <c r="F595" s="52"/>
      <c r="G595" s="14"/>
      <c r="I595" s="36"/>
      <c r="J595" s="53"/>
    </row>
    <row r="596" customFormat="false" ht="15" hidden="false" customHeight="false" outlineLevel="0" collapsed="false">
      <c r="A596" s="14"/>
      <c r="B596" s="14"/>
      <c r="F596" s="36"/>
      <c r="G596" s="36"/>
      <c r="H596" s="36"/>
      <c r="I596" s="36"/>
      <c r="J596" s="36"/>
    </row>
    <row r="597" customFormat="false" ht="15" hidden="false" customHeight="false" outlineLevel="0" collapsed="false">
      <c r="B597" s="54"/>
    </row>
    <row r="598" customFormat="false" ht="15" hidden="false" customHeight="false" outlineLevel="0" collapsed="false">
      <c r="F598" s="55"/>
      <c r="G598" s="56"/>
      <c r="H598" s="57"/>
      <c r="I598" s="28"/>
      <c r="J598" s="28"/>
    </row>
    <row r="599" customFormat="false" ht="15" hidden="false" customHeight="false" outlineLevel="0" collapsed="false">
      <c r="F599" s="55"/>
      <c r="G599" s="56"/>
      <c r="H599" s="57"/>
      <c r="J599" s="28"/>
    </row>
    <row r="600" customFormat="false" ht="15" hidden="false" customHeight="false" outlineLevel="0" collapsed="false">
      <c r="F600" s="55"/>
      <c r="G600" s="56"/>
      <c r="H600" s="57"/>
      <c r="J600" s="53"/>
    </row>
    <row r="601" customFormat="false" ht="15" hidden="false" customHeight="false" outlineLevel="0" collapsed="false">
      <c r="B601" s="54"/>
      <c r="F601" s="55"/>
      <c r="G601" s="56"/>
      <c r="H601" s="57"/>
      <c r="I601" s="57"/>
      <c r="J601" s="28"/>
    </row>
    <row r="602" customFormat="false" ht="15" hidden="false" customHeight="false" outlineLevel="0" collapsed="false">
      <c r="F602" s="55"/>
      <c r="G602" s="56"/>
      <c r="H602" s="57"/>
      <c r="J602" s="28"/>
    </row>
    <row r="603" customFormat="false" ht="15" hidden="false" customHeight="false" outlineLevel="0" collapsed="false">
      <c r="J603" s="53"/>
    </row>
    <row r="604" customFormat="false" ht="15" hidden="false" customHeight="false" outlineLevel="0" collapsed="false">
      <c r="B604" s="54"/>
    </row>
    <row r="605" customFormat="false" ht="15" hidden="false" customHeight="false" outlineLevel="0" collapsed="false">
      <c r="F605" s="55"/>
      <c r="H605" s="57"/>
      <c r="I605" s="28"/>
      <c r="J605" s="28"/>
    </row>
    <row r="606" customFormat="false" ht="15" hidden="false" customHeight="false" outlineLevel="0" collapsed="false">
      <c r="I606" s="14"/>
      <c r="J606" s="53"/>
    </row>
    <row r="607" customFormat="false" ht="15" hidden="false" customHeight="false" outlineLevel="0" collapsed="false">
      <c r="A607" s="136"/>
      <c r="B607" s="137"/>
      <c r="C607" s="136"/>
      <c r="D607" s="137"/>
      <c r="E607" s="137"/>
      <c r="F607" s="137"/>
      <c r="G607" s="137"/>
    </row>
    <row r="608" customFormat="false" ht="15" hidden="false" customHeight="false" outlineLevel="0" collapsed="false">
      <c r="A608" s="14"/>
      <c r="B608" s="14"/>
      <c r="C608" s="14"/>
      <c r="D608" s="14"/>
    </row>
    <row r="609" customFormat="false" ht="15" hidden="false" customHeight="false" outlineLevel="0" collapsed="false">
      <c r="A609" s="14"/>
      <c r="B609" s="14"/>
      <c r="C609" s="36"/>
      <c r="D609" s="52"/>
      <c r="E609" s="36"/>
      <c r="F609" s="52"/>
      <c r="G609" s="14"/>
      <c r="I609" s="36"/>
      <c r="J609" s="53"/>
    </row>
    <row r="610" customFormat="false" ht="15" hidden="false" customHeight="false" outlineLevel="0" collapsed="false">
      <c r="A610" s="14"/>
      <c r="B610" s="14"/>
      <c r="F610" s="36"/>
      <c r="G610" s="36"/>
      <c r="H610" s="36"/>
      <c r="I610" s="36"/>
      <c r="J610" s="36"/>
    </row>
    <row r="611" customFormat="false" ht="15" hidden="false" customHeight="false" outlineLevel="0" collapsed="false">
      <c r="B611" s="54"/>
    </row>
    <row r="612" customFormat="false" ht="15" hidden="false" customHeight="false" outlineLevel="0" collapsed="false">
      <c r="F612" s="55"/>
      <c r="G612" s="56"/>
      <c r="H612" s="57"/>
      <c r="I612" s="28"/>
      <c r="J612" s="28"/>
    </row>
    <row r="613" customFormat="false" ht="15" hidden="false" customHeight="false" outlineLevel="0" collapsed="false">
      <c r="F613" s="55"/>
      <c r="G613" s="56"/>
      <c r="H613" s="57"/>
      <c r="J613" s="28"/>
    </row>
    <row r="614" customFormat="false" ht="15" hidden="false" customHeight="false" outlineLevel="0" collapsed="false">
      <c r="F614" s="55"/>
      <c r="G614" s="56"/>
      <c r="H614" s="57"/>
      <c r="J614" s="53"/>
    </row>
    <row r="615" customFormat="false" ht="15" hidden="false" customHeight="false" outlineLevel="0" collapsed="false">
      <c r="B615" s="54"/>
      <c r="F615" s="55"/>
      <c r="G615" s="56"/>
      <c r="H615" s="57"/>
      <c r="I615" s="57"/>
      <c r="J615" s="28"/>
    </row>
    <row r="616" customFormat="false" ht="15" hidden="false" customHeight="false" outlineLevel="0" collapsed="false">
      <c r="F616" s="55"/>
      <c r="G616" s="56"/>
      <c r="H616" s="57"/>
      <c r="J616" s="28"/>
    </row>
    <row r="617" customFormat="false" ht="15" hidden="false" customHeight="false" outlineLevel="0" collapsed="false">
      <c r="J617" s="53"/>
    </row>
    <row r="618" customFormat="false" ht="15" hidden="false" customHeight="false" outlineLevel="0" collapsed="false">
      <c r="B618" s="54"/>
    </row>
    <row r="619" customFormat="false" ht="15" hidden="false" customHeight="false" outlineLevel="0" collapsed="false">
      <c r="F619" s="55"/>
      <c r="H619" s="57"/>
      <c r="I619" s="28"/>
      <c r="J619" s="28"/>
    </row>
    <row r="620" customFormat="false" ht="15" hidden="false" customHeight="false" outlineLevel="0" collapsed="false">
      <c r="I620" s="14"/>
      <c r="J620" s="53"/>
    </row>
    <row r="621" customFormat="false" ht="15" hidden="false" customHeight="false" outlineLevel="0" collapsed="false">
      <c r="A621" s="132"/>
      <c r="B621" s="137"/>
      <c r="C621" s="136"/>
      <c r="D621" s="136"/>
      <c r="E621" s="132"/>
      <c r="F621" s="138"/>
      <c r="G621" s="136"/>
    </row>
    <row r="622" customFormat="false" ht="15" hidden="false" customHeight="false" outlineLevel="0" collapsed="false">
      <c r="A622" s="14"/>
      <c r="B622" s="14"/>
      <c r="C622" s="14"/>
      <c r="D622" s="14"/>
    </row>
    <row r="623" customFormat="false" ht="15" hidden="false" customHeight="false" outlineLevel="0" collapsed="false">
      <c r="A623" s="14"/>
      <c r="B623" s="14"/>
      <c r="C623" s="36"/>
      <c r="D623" s="52"/>
      <c r="E623" s="36"/>
      <c r="F623" s="52"/>
      <c r="G623" s="14"/>
      <c r="I623" s="36"/>
      <c r="J623" s="53"/>
    </row>
    <row r="624" customFormat="false" ht="15" hidden="false" customHeight="false" outlineLevel="0" collapsed="false">
      <c r="A624" s="14"/>
      <c r="B624" s="14"/>
      <c r="F624" s="36"/>
      <c r="G624" s="36"/>
      <c r="H624" s="36"/>
      <c r="I624" s="36"/>
      <c r="J624" s="36"/>
    </row>
    <row r="625" customFormat="false" ht="15" hidden="false" customHeight="false" outlineLevel="0" collapsed="false">
      <c r="B625" s="54"/>
    </row>
    <row r="626" customFormat="false" ht="15" hidden="false" customHeight="false" outlineLevel="0" collapsed="false">
      <c r="F626" s="55"/>
      <c r="G626" s="56"/>
      <c r="H626" s="57"/>
      <c r="I626" s="28"/>
      <c r="J626" s="28"/>
    </row>
    <row r="627" customFormat="false" ht="15" hidden="false" customHeight="false" outlineLevel="0" collapsed="false">
      <c r="F627" s="55"/>
      <c r="G627" s="56"/>
      <c r="H627" s="57"/>
      <c r="J627" s="28"/>
    </row>
    <row r="628" customFormat="false" ht="15" hidden="false" customHeight="false" outlineLevel="0" collapsed="false">
      <c r="F628" s="55"/>
      <c r="G628" s="56"/>
      <c r="H628" s="57"/>
      <c r="J628" s="53"/>
    </row>
    <row r="629" customFormat="false" ht="15" hidden="false" customHeight="false" outlineLevel="0" collapsed="false">
      <c r="B629" s="54"/>
      <c r="F629" s="55"/>
      <c r="G629" s="56"/>
      <c r="H629" s="57"/>
      <c r="I629" s="57"/>
      <c r="J629" s="28"/>
    </row>
    <row r="630" customFormat="false" ht="15" hidden="false" customHeight="false" outlineLevel="0" collapsed="false">
      <c r="F630" s="55"/>
      <c r="G630" s="56"/>
      <c r="H630" s="57"/>
      <c r="J630" s="28"/>
    </row>
    <row r="631" customFormat="false" ht="15" hidden="false" customHeight="false" outlineLevel="0" collapsed="false">
      <c r="J631" s="53"/>
    </row>
    <row r="632" customFormat="false" ht="15" hidden="false" customHeight="false" outlineLevel="0" collapsed="false">
      <c r="B632" s="54"/>
    </row>
    <row r="633" customFormat="false" ht="15" hidden="false" customHeight="false" outlineLevel="0" collapsed="false">
      <c r="F633" s="55"/>
      <c r="H633" s="57"/>
      <c r="I633" s="28"/>
      <c r="J633" s="28"/>
    </row>
    <row r="634" customFormat="false" ht="15" hidden="false" customHeight="false" outlineLevel="0" collapsed="false">
      <c r="I634" s="14"/>
      <c r="J634" s="53"/>
    </row>
    <row r="635" customFormat="false" ht="15" hidden="false" customHeight="false" outlineLevel="0" collapsed="false">
      <c r="A635" s="132"/>
      <c r="B635" s="132"/>
      <c r="C635" s="136"/>
      <c r="D635" s="136"/>
      <c r="E635" s="132"/>
      <c r="F635" s="139"/>
      <c r="G635" s="132"/>
    </row>
    <row r="636" customFormat="false" ht="15" hidden="false" customHeight="false" outlineLevel="0" collapsed="false">
      <c r="A636" s="14"/>
      <c r="B636" s="14"/>
      <c r="C636" s="14"/>
      <c r="D636" s="14"/>
    </row>
    <row r="637" customFormat="false" ht="15" hidden="false" customHeight="false" outlineLevel="0" collapsed="false">
      <c r="A637" s="14"/>
      <c r="B637" s="14"/>
      <c r="C637" s="36"/>
      <c r="D637" s="52"/>
      <c r="E637" s="36"/>
      <c r="F637" s="52"/>
      <c r="G637" s="14"/>
      <c r="I637" s="36"/>
      <c r="J637" s="53"/>
    </row>
    <row r="638" customFormat="false" ht="15" hidden="false" customHeight="false" outlineLevel="0" collapsed="false">
      <c r="A638" s="14"/>
      <c r="B638" s="14"/>
      <c r="F638" s="36"/>
      <c r="G638" s="36"/>
      <c r="H638" s="36"/>
      <c r="I638" s="36"/>
      <c r="J638" s="36"/>
    </row>
    <row r="639" customFormat="false" ht="15" hidden="false" customHeight="false" outlineLevel="0" collapsed="false">
      <c r="B639" s="54"/>
    </row>
    <row r="640" customFormat="false" ht="15" hidden="false" customHeight="false" outlineLevel="0" collapsed="false">
      <c r="F640" s="55"/>
      <c r="G640" s="56"/>
      <c r="H640" s="57"/>
      <c r="I640" s="28"/>
      <c r="J640" s="28"/>
    </row>
    <row r="641" customFormat="false" ht="15" hidden="false" customHeight="false" outlineLevel="0" collapsed="false">
      <c r="F641" s="55"/>
      <c r="G641" s="56"/>
      <c r="H641" s="57"/>
      <c r="J641" s="28"/>
    </row>
    <row r="642" customFormat="false" ht="15" hidden="false" customHeight="false" outlineLevel="0" collapsed="false">
      <c r="F642" s="55"/>
      <c r="G642" s="56"/>
      <c r="H642" s="57"/>
      <c r="J642" s="53"/>
    </row>
    <row r="643" customFormat="false" ht="15" hidden="false" customHeight="false" outlineLevel="0" collapsed="false">
      <c r="B643" s="54"/>
      <c r="F643" s="55"/>
      <c r="G643" s="56"/>
      <c r="H643" s="57"/>
      <c r="I643" s="57"/>
      <c r="J643" s="28"/>
    </row>
    <row r="644" customFormat="false" ht="15" hidden="false" customHeight="false" outlineLevel="0" collapsed="false">
      <c r="F644" s="55"/>
      <c r="G644" s="56"/>
      <c r="H644" s="57"/>
      <c r="J644" s="28"/>
    </row>
    <row r="645" customFormat="false" ht="15" hidden="false" customHeight="false" outlineLevel="0" collapsed="false">
      <c r="J645" s="53"/>
    </row>
    <row r="646" customFormat="false" ht="15" hidden="false" customHeight="false" outlineLevel="0" collapsed="false">
      <c r="B646" s="54"/>
    </row>
    <row r="647" customFormat="false" ht="15" hidden="false" customHeight="false" outlineLevel="0" collapsed="false">
      <c r="F647" s="55"/>
      <c r="H647" s="57"/>
      <c r="I647" s="28"/>
      <c r="J647" s="28"/>
    </row>
    <row r="648" customFormat="false" ht="15" hidden="false" customHeight="false" outlineLevel="0" collapsed="false">
      <c r="F648" s="55"/>
      <c r="G648" s="56"/>
      <c r="H648" s="57"/>
      <c r="J648" s="28"/>
    </row>
    <row r="649" customFormat="false" ht="15" hidden="false" customHeight="false" outlineLevel="0" collapsed="false">
      <c r="I649" s="14"/>
      <c r="J649" s="53"/>
    </row>
    <row r="650" customFormat="false" ht="15" hidden="false" customHeight="false" outlineLevel="0" collapsed="false">
      <c r="A650" s="140"/>
      <c r="B650" s="15"/>
      <c r="C650" s="15"/>
      <c r="D650" s="15"/>
      <c r="E650" s="15"/>
      <c r="F650" s="141"/>
      <c r="G650" s="15"/>
      <c r="H650" s="142"/>
      <c r="I650" s="143"/>
      <c r="J650" s="143"/>
    </row>
    <row r="651" customFormat="false" ht="15" hidden="false" customHeight="false" outlineLevel="0" collapsed="false">
      <c r="A651" s="2"/>
      <c r="B651" s="2"/>
      <c r="C651" s="2"/>
      <c r="D651" s="2"/>
      <c r="E651" s="120"/>
      <c r="F651" s="120"/>
      <c r="G651" s="120"/>
      <c r="H651" s="120"/>
      <c r="I651" s="120"/>
      <c r="J651" s="120"/>
    </row>
    <row r="652" customFormat="false" ht="15" hidden="false" customHeight="false" outlineLevel="0" collapsed="false">
      <c r="A652" s="2"/>
      <c r="B652" s="2"/>
      <c r="C652" s="144"/>
      <c r="D652" s="145"/>
      <c r="E652" s="144"/>
      <c r="F652" s="145"/>
      <c r="G652" s="2"/>
      <c r="H652" s="120"/>
      <c r="I652" s="144"/>
      <c r="J652" s="146"/>
    </row>
    <row r="653" customFormat="false" ht="15" hidden="false" customHeight="false" outlineLevel="0" collapsed="false">
      <c r="A653" s="2"/>
      <c r="B653" s="2"/>
      <c r="C653" s="120"/>
      <c r="D653" s="120"/>
      <c r="E653" s="120"/>
      <c r="F653" s="144"/>
      <c r="G653" s="144"/>
      <c r="H653" s="144"/>
      <c r="I653" s="144"/>
      <c r="J653" s="144"/>
    </row>
    <row r="654" customFormat="false" ht="15" hidden="false" customHeight="false" outlineLevel="0" collapsed="false">
      <c r="A654" s="120"/>
      <c r="B654" s="54"/>
      <c r="C654" s="120"/>
      <c r="D654" s="120"/>
      <c r="E654" s="120"/>
      <c r="F654" s="120"/>
      <c r="G654" s="120"/>
      <c r="H654" s="120"/>
      <c r="I654" s="120"/>
      <c r="J654" s="120"/>
    </row>
    <row r="655" customFormat="false" ht="15" hidden="false" customHeight="false" outlineLevel="0" collapsed="false">
      <c r="A655" s="120"/>
      <c r="B655" s="120"/>
      <c r="C655" s="120"/>
      <c r="D655" s="120"/>
      <c r="E655" s="120"/>
      <c r="F655" s="147"/>
      <c r="G655" s="148"/>
      <c r="H655" s="149"/>
      <c r="I655" s="150"/>
      <c r="J655" s="150"/>
    </row>
    <row r="656" customFormat="false" ht="15" hidden="false" customHeight="false" outlineLevel="0" collapsed="false">
      <c r="A656" s="120"/>
      <c r="B656" s="120"/>
      <c r="C656" s="120"/>
      <c r="D656" s="120"/>
      <c r="E656" s="120"/>
      <c r="F656" s="147"/>
      <c r="G656" s="148"/>
      <c r="H656" s="149"/>
      <c r="I656" s="120"/>
      <c r="J656" s="150"/>
    </row>
    <row r="657" customFormat="false" ht="15" hidden="false" customHeight="false" outlineLevel="0" collapsed="false">
      <c r="A657" s="120"/>
      <c r="B657" s="120"/>
      <c r="C657" s="120"/>
      <c r="D657" s="120"/>
      <c r="E657" s="120"/>
      <c r="F657" s="147"/>
      <c r="G657" s="148"/>
      <c r="H657" s="149"/>
      <c r="I657" s="120"/>
      <c r="J657" s="146"/>
    </row>
    <row r="658" customFormat="false" ht="15" hidden="false" customHeight="false" outlineLevel="0" collapsed="false">
      <c r="A658" s="120"/>
      <c r="B658" s="54"/>
      <c r="C658" s="120"/>
      <c r="D658" s="120"/>
      <c r="E658" s="120"/>
      <c r="F658" s="147"/>
      <c r="G658" s="148"/>
      <c r="H658" s="149"/>
      <c r="I658" s="149"/>
      <c r="J658" s="150"/>
    </row>
    <row r="659" customFormat="false" ht="15" hidden="false" customHeight="false" outlineLevel="0" collapsed="false">
      <c r="A659" s="120"/>
      <c r="B659" s="120"/>
      <c r="C659" s="120"/>
      <c r="D659" s="120"/>
      <c r="E659" s="120"/>
      <c r="F659" s="147"/>
      <c r="G659" s="120"/>
      <c r="H659" s="149"/>
      <c r="I659" s="150"/>
      <c r="J659" s="150"/>
    </row>
    <row r="660" customFormat="false" ht="15" hidden="false" customHeight="false" outlineLevel="0" collapsed="false">
      <c r="A660" s="120"/>
      <c r="B660" s="120"/>
      <c r="C660" s="120"/>
      <c r="D660" s="120"/>
      <c r="E660" s="120"/>
      <c r="F660" s="120"/>
      <c r="G660" s="120"/>
      <c r="H660" s="120"/>
      <c r="I660" s="120"/>
      <c r="J660" s="146"/>
    </row>
    <row r="661" customFormat="false" ht="15" hidden="false" customHeight="false" outlineLevel="0" collapsed="false">
      <c r="A661" s="120"/>
      <c r="B661" s="54"/>
      <c r="C661" s="120"/>
      <c r="D661" s="120"/>
      <c r="E661" s="120"/>
      <c r="F661" s="120"/>
      <c r="G661" s="120"/>
      <c r="H661" s="120"/>
      <c r="I661" s="120"/>
      <c r="J661" s="120"/>
    </row>
    <row r="662" customFormat="false" ht="15" hidden="false" customHeight="false" outlineLevel="0" collapsed="false">
      <c r="A662" s="120"/>
      <c r="B662" s="120"/>
      <c r="C662" s="120"/>
      <c r="D662" s="120"/>
      <c r="E662" s="120"/>
      <c r="F662" s="147"/>
      <c r="G662" s="120"/>
      <c r="H662" s="149"/>
      <c r="I662" s="150"/>
      <c r="J662" s="150"/>
    </row>
    <row r="663" customFormat="false" ht="15" hidden="false" customHeight="false" outlineLevel="0" collapsed="false">
      <c r="A663" s="120"/>
      <c r="B663" s="120"/>
      <c r="C663" s="120"/>
      <c r="D663" s="120"/>
      <c r="E663" s="120"/>
      <c r="F663" s="147"/>
      <c r="G663" s="148"/>
      <c r="H663" s="149"/>
      <c r="I663" s="120"/>
      <c r="J663" s="150"/>
    </row>
    <row r="664" customFormat="false" ht="15" hidden="false" customHeight="false" outlineLevel="0" collapsed="false">
      <c r="A664" s="120"/>
      <c r="B664" s="120"/>
      <c r="C664" s="120"/>
      <c r="D664" s="120"/>
      <c r="E664" s="120"/>
      <c r="F664" s="120"/>
      <c r="G664" s="120"/>
      <c r="H664" s="120"/>
      <c r="I664" s="2"/>
      <c r="J664" s="146"/>
    </row>
    <row r="666" customFormat="false" ht="15" hidden="false" customHeight="false" outlineLevel="0" collapsed="false">
      <c r="A666" s="14"/>
      <c r="B666" s="14"/>
      <c r="C666" s="14"/>
      <c r="D666" s="14"/>
    </row>
    <row r="667" customFormat="false" ht="15" hidden="false" customHeight="false" outlineLevel="0" collapsed="false">
      <c r="A667" s="14"/>
      <c r="B667" s="14"/>
      <c r="C667" s="36"/>
      <c r="D667" s="52"/>
      <c r="E667" s="36"/>
      <c r="F667" s="52"/>
      <c r="G667" s="14"/>
      <c r="I667" s="36"/>
      <c r="J667" s="53"/>
    </row>
    <row r="668" customFormat="false" ht="15" hidden="false" customHeight="false" outlineLevel="0" collapsed="false">
      <c r="A668" s="14"/>
      <c r="B668" s="14"/>
      <c r="F668" s="36"/>
      <c r="G668" s="36"/>
      <c r="H668" s="36"/>
      <c r="I668" s="36"/>
      <c r="J668" s="36"/>
    </row>
    <row r="669" customFormat="false" ht="15" hidden="false" customHeight="false" outlineLevel="0" collapsed="false">
      <c r="B669" s="54"/>
    </row>
    <row r="670" customFormat="false" ht="15" hidden="false" customHeight="false" outlineLevel="0" collapsed="false">
      <c r="F670" s="55"/>
      <c r="G670" s="56"/>
      <c r="H670" s="57"/>
      <c r="I670" s="28"/>
      <c r="J670" s="28"/>
    </row>
    <row r="671" customFormat="false" ht="15" hidden="false" customHeight="false" outlineLevel="0" collapsed="false">
      <c r="F671" s="55"/>
      <c r="G671" s="56"/>
      <c r="H671" s="57"/>
      <c r="J671" s="28"/>
    </row>
    <row r="672" customFormat="false" ht="15" hidden="false" customHeight="false" outlineLevel="0" collapsed="false">
      <c r="F672" s="55"/>
      <c r="G672" s="56"/>
      <c r="H672" s="57"/>
      <c r="J672" s="53"/>
    </row>
    <row r="673" customFormat="false" ht="15" hidden="false" customHeight="false" outlineLevel="0" collapsed="false">
      <c r="B673" s="54"/>
      <c r="F673" s="55"/>
      <c r="G673" s="56"/>
      <c r="H673" s="57"/>
      <c r="I673" s="57"/>
      <c r="J673" s="28"/>
    </row>
    <row r="674" customFormat="false" ht="15" hidden="false" customHeight="false" outlineLevel="0" collapsed="false">
      <c r="F674" s="55"/>
      <c r="H674" s="57"/>
      <c r="I674" s="28"/>
      <c r="J674" s="28"/>
    </row>
    <row r="675" customFormat="false" ht="15" hidden="false" customHeight="false" outlineLevel="0" collapsed="false">
      <c r="J675" s="53"/>
    </row>
    <row r="676" customFormat="false" ht="15" hidden="false" customHeight="false" outlineLevel="0" collapsed="false">
      <c r="B676" s="54"/>
    </row>
    <row r="677" customFormat="false" ht="15" hidden="false" customHeight="false" outlineLevel="0" collapsed="false">
      <c r="F677" s="55"/>
      <c r="H677" s="57"/>
      <c r="I677" s="28"/>
      <c r="J677" s="28"/>
    </row>
    <row r="678" customFormat="false" ht="15" hidden="false" customHeight="false" outlineLevel="0" collapsed="false">
      <c r="F678" s="55"/>
      <c r="G678" s="56"/>
      <c r="H678" s="57"/>
      <c r="J678" s="28"/>
    </row>
    <row r="679" customFormat="false" ht="15" hidden="false" customHeight="false" outlineLevel="0" collapsed="false">
      <c r="I679" s="14"/>
      <c r="J679" s="53"/>
    </row>
    <row r="681" customFormat="false" ht="15" hidden="false" customHeight="false" outlineLevel="0" collapsed="false">
      <c r="A681" s="14"/>
      <c r="B681" s="14"/>
      <c r="C681" s="14"/>
      <c r="D681" s="14"/>
    </row>
    <row r="682" customFormat="false" ht="15" hidden="false" customHeight="false" outlineLevel="0" collapsed="false">
      <c r="A682" s="14"/>
      <c r="B682" s="14"/>
      <c r="C682" s="36"/>
      <c r="D682" s="52"/>
      <c r="E682" s="36"/>
      <c r="F682" s="52"/>
      <c r="G682" s="14"/>
      <c r="I682" s="36"/>
      <c r="J682" s="53"/>
    </row>
    <row r="683" customFormat="false" ht="15" hidden="false" customHeight="false" outlineLevel="0" collapsed="false">
      <c r="A683" s="14"/>
      <c r="B683" s="14"/>
      <c r="F683" s="36"/>
      <c r="G683" s="36"/>
      <c r="H683" s="36"/>
      <c r="I683" s="36"/>
      <c r="J683" s="36"/>
    </row>
    <row r="684" customFormat="false" ht="15" hidden="false" customHeight="false" outlineLevel="0" collapsed="false">
      <c r="B684" s="54"/>
    </row>
    <row r="685" customFormat="false" ht="15" hidden="false" customHeight="false" outlineLevel="0" collapsed="false">
      <c r="F685" s="55"/>
      <c r="G685" s="56"/>
      <c r="H685" s="57"/>
      <c r="I685" s="28"/>
      <c r="J685" s="28"/>
    </row>
    <row r="686" customFormat="false" ht="15" hidden="false" customHeight="false" outlineLevel="0" collapsed="false">
      <c r="F686" s="55"/>
      <c r="G686" s="56"/>
      <c r="H686" s="57"/>
      <c r="J686" s="28"/>
    </row>
    <row r="687" customFormat="false" ht="15" hidden="false" customHeight="false" outlineLevel="0" collapsed="false">
      <c r="F687" s="55"/>
      <c r="G687" s="56"/>
      <c r="H687" s="57"/>
      <c r="J687" s="53"/>
    </row>
    <row r="688" customFormat="false" ht="15" hidden="false" customHeight="false" outlineLevel="0" collapsed="false">
      <c r="B688" s="54"/>
      <c r="F688" s="55"/>
      <c r="G688" s="56"/>
      <c r="H688" s="57"/>
      <c r="I688" s="57"/>
      <c r="J688" s="28"/>
    </row>
    <row r="689" customFormat="false" ht="15" hidden="false" customHeight="false" outlineLevel="0" collapsed="false">
      <c r="F689" s="55"/>
      <c r="H689" s="57"/>
      <c r="I689" s="28"/>
      <c r="J689" s="28"/>
    </row>
    <row r="690" customFormat="false" ht="15" hidden="false" customHeight="false" outlineLevel="0" collapsed="false">
      <c r="J690" s="53"/>
    </row>
    <row r="691" customFormat="false" ht="15" hidden="false" customHeight="false" outlineLevel="0" collapsed="false">
      <c r="B691" s="54"/>
    </row>
    <row r="692" customFormat="false" ht="15" hidden="false" customHeight="false" outlineLevel="0" collapsed="false">
      <c r="F692" s="55"/>
      <c r="H692" s="57"/>
      <c r="I692" s="28"/>
      <c r="J692" s="28"/>
    </row>
    <row r="693" customFormat="false" ht="15" hidden="false" customHeight="false" outlineLevel="0" collapsed="false">
      <c r="F693" s="55"/>
      <c r="G693" s="56"/>
      <c r="H693" s="57"/>
      <c r="J693" s="28"/>
    </row>
    <row r="694" customFormat="false" ht="15" hidden="false" customHeight="false" outlineLevel="0" collapsed="false">
      <c r="I694" s="14"/>
      <c r="J694" s="53"/>
    </row>
    <row r="696" customFormat="false" ht="15" hidden="false" customHeight="false" outlineLevel="0" collapsed="false">
      <c r="A696" s="14"/>
      <c r="B696" s="14"/>
      <c r="C696" s="14"/>
      <c r="D696" s="14"/>
    </row>
    <row r="697" customFormat="false" ht="15" hidden="false" customHeight="false" outlineLevel="0" collapsed="false">
      <c r="A697" s="14"/>
      <c r="B697" s="14"/>
      <c r="C697" s="36"/>
      <c r="D697" s="52"/>
      <c r="E697" s="36"/>
      <c r="F697" s="52"/>
      <c r="G697" s="14"/>
      <c r="I697" s="36"/>
      <c r="J697" s="53"/>
    </row>
    <row r="698" customFormat="false" ht="15" hidden="false" customHeight="false" outlineLevel="0" collapsed="false">
      <c r="A698" s="14"/>
      <c r="B698" s="14"/>
      <c r="F698" s="36"/>
      <c r="G698" s="36"/>
      <c r="H698" s="36"/>
      <c r="I698" s="36"/>
      <c r="J698" s="36"/>
    </row>
    <row r="699" customFormat="false" ht="15" hidden="false" customHeight="false" outlineLevel="0" collapsed="false">
      <c r="B699" s="54"/>
    </row>
    <row r="700" customFormat="false" ht="15" hidden="false" customHeight="false" outlineLevel="0" collapsed="false">
      <c r="F700" s="55"/>
      <c r="G700" s="56"/>
      <c r="H700" s="57"/>
      <c r="I700" s="28"/>
      <c r="J700" s="28"/>
    </row>
    <row r="701" customFormat="false" ht="15" hidden="false" customHeight="false" outlineLevel="0" collapsed="false">
      <c r="F701" s="55"/>
      <c r="G701" s="56"/>
      <c r="H701" s="57"/>
      <c r="J701" s="28"/>
    </row>
    <row r="702" customFormat="false" ht="15" hidden="false" customHeight="false" outlineLevel="0" collapsed="false">
      <c r="F702" s="55"/>
      <c r="G702" s="56"/>
      <c r="H702" s="57"/>
      <c r="J702" s="53"/>
    </row>
    <row r="703" customFormat="false" ht="15" hidden="false" customHeight="false" outlineLevel="0" collapsed="false">
      <c r="B703" s="54"/>
      <c r="F703" s="55"/>
      <c r="G703" s="56"/>
      <c r="H703" s="57"/>
      <c r="I703" s="57"/>
      <c r="J703" s="28"/>
    </row>
    <row r="704" customFormat="false" ht="15" hidden="false" customHeight="false" outlineLevel="0" collapsed="false">
      <c r="F704" s="55"/>
      <c r="H704" s="57"/>
      <c r="I704" s="28"/>
      <c r="J704" s="28"/>
    </row>
    <row r="705" customFormat="false" ht="15" hidden="false" customHeight="false" outlineLevel="0" collapsed="false">
      <c r="J705" s="53"/>
    </row>
    <row r="706" customFormat="false" ht="15" hidden="false" customHeight="false" outlineLevel="0" collapsed="false">
      <c r="B706" s="54"/>
    </row>
    <row r="707" customFormat="false" ht="15" hidden="false" customHeight="false" outlineLevel="0" collapsed="false">
      <c r="F707" s="55"/>
      <c r="H707" s="57"/>
      <c r="I707" s="28"/>
      <c r="J707" s="28"/>
    </row>
    <row r="708" customFormat="false" ht="15" hidden="false" customHeight="false" outlineLevel="0" collapsed="false">
      <c r="I708" s="14"/>
      <c r="J708" s="53"/>
    </row>
    <row r="710" customFormat="false" ht="15" hidden="false" customHeight="false" outlineLevel="0" collapsed="false">
      <c r="A710" s="14"/>
      <c r="B710" s="14"/>
      <c r="C710" s="14"/>
      <c r="D710" s="14"/>
    </row>
    <row r="711" customFormat="false" ht="15" hidden="false" customHeight="false" outlineLevel="0" collapsed="false">
      <c r="A711" s="14"/>
      <c r="B711" s="14"/>
      <c r="C711" s="36"/>
      <c r="D711" s="52"/>
      <c r="E711" s="36"/>
      <c r="F711" s="52"/>
      <c r="G711" s="14"/>
      <c r="I711" s="36"/>
      <c r="J711" s="53"/>
    </row>
    <row r="712" customFormat="false" ht="15" hidden="false" customHeight="false" outlineLevel="0" collapsed="false">
      <c r="A712" s="14"/>
      <c r="B712" s="14"/>
      <c r="F712" s="36"/>
      <c r="G712" s="36"/>
      <c r="H712" s="36"/>
      <c r="I712" s="36"/>
      <c r="J712" s="36"/>
    </row>
    <row r="713" customFormat="false" ht="15" hidden="false" customHeight="false" outlineLevel="0" collapsed="false">
      <c r="B713" s="54"/>
    </row>
    <row r="714" customFormat="false" ht="15" hidden="false" customHeight="false" outlineLevel="0" collapsed="false">
      <c r="F714" s="55"/>
      <c r="G714" s="56"/>
      <c r="H714" s="57"/>
      <c r="I714" s="28"/>
      <c r="J714" s="28"/>
    </row>
    <row r="715" customFormat="false" ht="15" hidden="false" customHeight="false" outlineLevel="0" collapsed="false">
      <c r="F715" s="55"/>
      <c r="G715" s="56"/>
      <c r="H715" s="57"/>
      <c r="J715" s="28"/>
    </row>
    <row r="716" customFormat="false" ht="15" hidden="false" customHeight="false" outlineLevel="0" collapsed="false">
      <c r="F716" s="55"/>
      <c r="G716" s="56"/>
      <c r="H716" s="57"/>
      <c r="J716" s="53"/>
    </row>
    <row r="717" customFormat="false" ht="15" hidden="false" customHeight="false" outlineLevel="0" collapsed="false">
      <c r="B717" s="54"/>
      <c r="F717" s="55"/>
      <c r="G717" s="56"/>
      <c r="H717" s="57"/>
      <c r="I717" s="57"/>
      <c r="J717" s="28"/>
    </row>
    <row r="718" customFormat="false" ht="15" hidden="false" customHeight="false" outlineLevel="0" collapsed="false">
      <c r="F718" s="55"/>
      <c r="H718" s="57"/>
      <c r="I718" s="28"/>
      <c r="J718" s="28"/>
    </row>
    <row r="719" customFormat="false" ht="15" hidden="false" customHeight="false" outlineLevel="0" collapsed="false">
      <c r="J719" s="53"/>
    </row>
    <row r="720" customFormat="false" ht="15" hidden="false" customHeight="false" outlineLevel="0" collapsed="false">
      <c r="B720" s="54"/>
    </row>
    <row r="721" customFormat="false" ht="15" hidden="false" customHeight="false" outlineLevel="0" collapsed="false">
      <c r="F721" s="55"/>
      <c r="H721" s="57"/>
      <c r="I721" s="28"/>
      <c r="J721" s="28"/>
    </row>
    <row r="722" customFormat="false" ht="15" hidden="false" customHeight="false" outlineLevel="0" collapsed="false">
      <c r="I722" s="14"/>
      <c r="J722" s="53"/>
    </row>
    <row r="724" customFormat="false" ht="15" hidden="false" customHeight="false" outlineLevel="0" collapsed="false">
      <c r="A724" s="14"/>
      <c r="B724" s="14"/>
      <c r="C724" s="14"/>
      <c r="D724" s="14"/>
    </row>
    <row r="725" customFormat="false" ht="15" hidden="false" customHeight="false" outlineLevel="0" collapsed="false">
      <c r="A725" s="14"/>
      <c r="B725" s="14"/>
      <c r="C725" s="36"/>
      <c r="D725" s="52"/>
      <c r="E725" s="36"/>
      <c r="F725" s="52"/>
      <c r="G725" s="14"/>
      <c r="I725" s="36"/>
      <c r="J725" s="53"/>
    </row>
    <row r="726" customFormat="false" ht="15" hidden="false" customHeight="false" outlineLevel="0" collapsed="false">
      <c r="A726" s="14"/>
      <c r="B726" s="14"/>
      <c r="F726" s="36"/>
      <c r="G726" s="36"/>
      <c r="H726" s="36"/>
      <c r="I726" s="36"/>
      <c r="J726" s="36"/>
    </row>
    <row r="727" customFormat="false" ht="15" hidden="false" customHeight="false" outlineLevel="0" collapsed="false">
      <c r="B727" s="54"/>
    </row>
    <row r="728" customFormat="false" ht="15" hidden="false" customHeight="false" outlineLevel="0" collapsed="false">
      <c r="F728" s="55"/>
      <c r="G728" s="56"/>
      <c r="H728" s="57"/>
      <c r="I728" s="28"/>
      <c r="J728" s="28"/>
    </row>
    <row r="729" customFormat="false" ht="15" hidden="false" customHeight="false" outlineLevel="0" collapsed="false">
      <c r="F729" s="55"/>
      <c r="G729" s="56"/>
      <c r="H729" s="57"/>
      <c r="J729" s="28"/>
    </row>
    <row r="730" customFormat="false" ht="15" hidden="false" customHeight="false" outlineLevel="0" collapsed="false">
      <c r="F730" s="55"/>
      <c r="G730" s="56"/>
      <c r="H730" s="57"/>
      <c r="J730" s="53"/>
    </row>
    <row r="731" customFormat="false" ht="15" hidden="false" customHeight="false" outlineLevel="0" collapsed="false">
      <c r="B731" s="54"/>
      <c r="F731" s="55"/>
      <c r="G731" s="56"/>
      <c r="H731" s="57"/>
      <c r="I731" s="57"/>
      <c r="J731" s="28"/>
    </row>
    <row r="732" customFormat="false" ht="15" hidden="false" customHeight="false" outlineLevel="0" collapsed="false">
      <c r="F732" s="55"/>
      <c r="H732" s="57"/>
      <c r="I732" s="28"/>
      <c r="J732" s="28"/>
    </row>
    <row r="733" customFormat="false" ht="15" hidden="false" customHeight="false" outlineLevel="0" collapsed="false">
      <c r="F733" s="55"/>
      <c r="H733" s="57"/>
      <c r="I733" s="28"/>
      <c r="J733" s="28"/>
    </row>
    <row r="734" customFormat="false" ht="15" hidden="false" customHeight="false" outlineLevel="0" collapsed="false">
      <c r="F734" s="55"/>
      <c r="H734" s="57"/>
      <c r="I734" s="28"/>
      <c r="J734" s="28"/>
    </row>
    <row r="735" customFormat="false" ht="15" hidden="false" customHeight="false" outlineLevel="0" collapsed="false">
      <c r="F735" s="55"/>
      <c r="H735" s="57"/>
      <c r="I735" s="28"/>
      <c r="J735" s="28"/>
    </row>
    <row r="736" customFormat="false" ht="15" hidden="false" customHeight="false" outlineLevel="0" collapsed="false">
      <c r="J736" s="53"/>
    </row>
    <row r="737" customFormat="false" ht="15" hidden="false" customHeight="false" outlineLevel="0" collapsed="false">
      <c r="B737" s="54"/>
    </row>
    <row r="738" customFormat="false" ht="15" hidden="false" customHeight="false" outlineLevel="0" collapsed="false">
      <c r="F738" s="55"/>
      <c r="H738" s="57"/>
      <c r="I738" s="28"/>
      <c r="J738" s="28"/>
    </row>
    <row r="739" customFormat="false" ht="15" hidden="false" customHeight="false" outlineLevel="0" collapsed="false">
      <c r="I739" s="14"/>
      <c r="J739" s="53"/>
    </row>
    <row r="741" customFormat="false" ht="15" hidden="false" customHeight="false" outlineLevel="0" collapsed="false">
      <c r="A741" s="14"/>
      <c r="B741" s="14"/>
      <c r="C741" s="14"/>
      <c r="D741" s="14"/>
    </row>
    <row r="742" customFormat="false" ht="15" hidden="false" customHeight="false" outlineLevel="0" collapsed="false">
      <c r="A742" s="14"/>
      <c r="B742" s="14"/>
      <c r="C742" s="36"/>
      <c r="D742" s="52"/>
      <c r="E742" s="36"/>
      <c r="F742" s="52"/>
      <c r="G742" s="14"/>
      <c r="I742" s="36"/>
      <c r="J742" s="53"/>
    </row>
    <row r="743" customFormat="false" ht="15" hidden="false" customHeight="false" outlineLevel="0" collapsed="false">
      <c r="A743" s="14"/>
      <c r="B743" s="14"/>
      <c r="F743" s="36"/>
      <c r="G743" s="36"/>
      <c r="H743" s="36"/>
      <c r="I743" s="36"/>
      <c r="J743" s="36"/>
    </row>
    <row r="744" customFormat="false" ht="15" hidden="false" customHeight="false" outlineLevel="0" collapsed="false">
      <c r="B744" s="54"/>
    </row>
    <row r="745" customFormat="false" ht="15" hidden="false" customHeight="false" outlineLevel="0" collapsed="false">
      <c r="F745" s="55"/>
      <c r="G745" s="56"/>
      <c r="H745" s="57"/>
      <c r="I745" s="28"/>
      <c r="J745" s="28"/>
    </row>
    <row r="746" customFormat="false" ht="15" hidden="false" customHeight="false" outlineLevel="0" collapsed="false">
      <c r="F746" s="55"/>
      <c r="G746" s="56"/>
      <c r="H746" s="57"/>
      <c r="J746" s="28"/>
    </row>
    <row r="747" customFormat="false" ht="15" hidden="false" customHeight="false" outlineLevel="0" collapsed="false">
      <c r="F747" s="55"/>
      <c r="G747" s="56"/>
      <c r="H747" s="57"/>
      <c r="J747" s="53"/>
    </row>
    <row r="748" customFormat="false" ht="15" hidden="false" customHeight="false" outlineLevel="0" collapsed="false">
      <c r="B748" s="54"/>
      <c r="F748" s="55"/>
      <c r="G748" s="56"/>
      <c r="H748" s="57"/>
      <c r="I748" s="57"/>
      <c r="J748" s="28"/>
    </row>
    <row r="749" customFormat="false" ht="15" hidden="false" customHeight="false" outlineLevel="0" collapsed="false">
      <c r="F749" s="55"/>
      <c r="H749" s="57"/>
      <c r="I749" s="28"/>
      <c r="J749" s="28"/>
    </row>
    <row r="750" customFormat="false" ht="15" hidden="false" customHeight="false" outlineLevel="0" collapsed="false">
      <c r="J750" s="53"/>
    </row>
    <row r="751" customFormat="false" ht="15" hidden="false" customHeight="false" outlineLevel="0" collapsed="false">
      <c r="B751" s="54"/>
    </row>
    <row r="752" customFormat="false" ht="15" hidden="false" customHeight="false" outlineLevel="0" collapsed="false">
      <c r="F752" s="55"/>
      <c r="H752" s="57"/>
      <c r="I752" s="28"/>
      <c r="J752" s="28"/>
    </row>
    <row r="753" customFormat="false" ht="15" hidden="false" customHeight="false" outlineLevel="0" collapsed="false">
      <c r="I753" s="14"/>
      <c r="J753" s="53"/>
    </row>
    <row r="755" customFormat="false" ht="15" hidden="false" customHeight="false" outlineLevel="0" collapsed="false">
      <c r="A755" s="14"/>
      <c r="B755" s="14"/>
      <c r="C755" s="14"/>
      <c r="D755" s="14"/>
    </row>
    <row r="756" customFormat="false" ht="15" hidden="false" customHeight="false" outlineLevel="0" collapsed="false">
      <c r="A756" s="14"/>
      <c r="B756" s="14"/>
      <c r="C756" s="36"/>
      <c r="D756" s="52"/>
      <c r="E756" s="36"/>
      <c r="F756" s="52"/>
      <c r="G756" s="14"/>
      <c r="I756" s="36"/>
      <c r="J756" s="53"/>
    </row>
    <row r="757" customFormat="false" ht="15" hidden="false" customHeight="false" outlineLevel="0" collapsed="false">
      <c r="A757" s="14"/>
      <c r="B757" s="14"/>
      <c r="F757" s="36"/>
      <c r="G757" s="36"/>
      <c r="H757" s="36"/>
      <c r="I757" s="36"/>
      <c r="J757" s="36"/>
    </row>
    <row r="758" customFormat="false" ht="15" hidden="false" customHeight="false" outlineLevel="0" collapsed="false">
      <c r="B758" s="54"/>
    </row>
    <row r="759" customFormat="false" ht="15" hidden="false" customHeight="false" outlineLevel="0" collapsed="false">
      <c r="F759" s="55"/>
      <c r="G759" s="56"/>
      <c r="H759" s="57"/>
      <c r="I759" s="28"/>
      <c r="J759" s="28"/>
    </row>
    <row r="760" customFormat="false" ht="15" hidden="false" customHeight="false" outlineLevel="0" collapsed="false">
      <c r="F760" s="55"/>
      <c r="G760" s="56"/>
      <c r="H760" s="57"/>
      <c r="J760" s="28"/>
    </row>
    <row r="761" customFormat="false" ht="15" hidden="false" customHeight="false" outlineLevel="0" collapsed="false">
      <c r="F761" s="55"/>
      <c r="G761" s="56"/>
      <c r="H761" s="57"/>
      <c r="J761" s="53"/>
    </row>
    <row r="762" customFormat="false" ht="15" hidden="false" customHeight="false" outlineLevel="0" collapsed="false">
      <c r="B762" s="54"/>
      <c r="F762" s="55"/>
      <c r="G762" s="56"/>
      <c r="H762" s="57"/>
      <c r="I762" s="57"/>
      <c r="J762" s="28"/>
    </row>
    <row r="763" customFormat="false" ht="15" hidden="false" customHeight="false" outlineLevel="0" collapsed="false">
      <c r="F763" s="55"/>
      <c r="H763" s="57"/>
      <c r="I763" s="28"/>
      <c r="J763" s="28"/>
    </row>
    <row r="764" customFormat="false" ht="15" hidden="false" customHeight="false" outlineLevel="0" collapsed="false">
      <c r="F764" s="55"/>
      <c r="H764" s="57"/>
      <c r="I764" s="28"/>
      <c r="J764" s="28"/>
    </row>
    <row r="765" customFormat="false" ht="15" hidden="false" customHeight="false" outlineLevel="0" collapsed="false">
      <c r="F765" s="55"/>
      <c r="H765" s="57"/>
      <c r="I765" s="28"/>
      <c r="J765" s="28"/>
    </row>
    <row r="766" customFormat="false" ht="15" hidden="false" customHeight="false" outlineLevel="0" collapsed="false">
      <c r="F766" s="55"/>
      <c r="H766" s="57"/>
      <c r="I766" s="28"/>
      <c r="J766" s="28"/>
    </row>
    <row r="767" customFormat="false" ht="15" hidden="false" customHeight="false" outlineLevel="0" collapsed="false">
      <c r="J767" s="53"/>
    </row>
    <row r="768" customFormat="false" ht="15" hidden="false" customHeight="false" outlineLevel="0" collapsed="false">
      <c r="B768" s="54"/>
    </row>
    <row r="769" customFormat="false" ht="15" hidden="false" customHeight="false" outlineLevel="0" collapsed="false">
      <c r="F769" s="55"/>
      <c r="H769" s="57"/>
      <c r="I769" s="28"/>
      <c r="J769" s="28"/>
    </row>
    <row r="770" customFormat="false" ht="15" hidden="false" customHeight="false" outlineLevel="0" collapsed="false">
      <c r="F770" s="55"/>
      <c r="G770" s="56"/>
      <c r="H770" s="57"/>
      <c r="J770" s="28"/>
    </row>
    <row r="771" customFormat="false" ht="15" hidden="false" customHeight="false" outlineLevel="0" collapsed="false">
      <c r="I771" s="14"/>
      <c r="J771" s="53"/>
    </row>
    <row r="773" customFormat="false" ht="15" hidden="false" customHeight="false" outlineLevel="0" collapsed="false">
      <c r="A773" s="14"/>
      <c r="B773" s="14"/>
      <c r="C773" s="14"/>
      <c r="D773" s="14"/>
    </row>
    <row r="774" customFormat="false" ht="15" hidden="false" customHeight="false" outlineLevel="0" collapsed="false">
      <c r="A774" s="14"/>
      <c r="B774" s="14"/>
      <c r="C774" s="36"/>
      <c r="D774" s="52"/>
      <c r="E774" s="36"/>
      <c r="F774" s="52"/>
      <c r="G774" s="14"/>
      <c r="I774" s="36"/>
      <c r="J774" s="53"/>
    </row>
    <row r="775" customFormat="false" ht="15" hidden="false" customHeight="false" outlineLevel="0" collapsed="false">
      <c r="A775" s="14"/>
      <c r="B775" s="14"/>
      <c r="F775" s="36"/>
      <c r="G775" s="36"/>
      <c r="H775" s="36"/>
      <c r="I775" s="36"/>
      <c r="J775" s="36"/>
    </row>
    <row r="776" customFormat="false" ht="15" hidden="false" customHeight="false" outlineLevel="0" collapsed="false">
      <c r="B776" s="54"/>
    </row>
    <row r="777" customFormat="false" ht="15" hidden="false" customHeight="false" outlineLevel="0" collapsed="false">
      <c r="F777" s="55"/>
      <c r="G777" s="56"/>
      <c r="H777" s="57"/>
      <c r="I777" s="28"/>
      <c r="J777" s="28"/>
    </row>
    <row r="778" customFormat="false" ht="15" hidden="false" customHeight="false" outlineLevel="0" collapsed="false">
      <c r="F778" s="55"/>
      <c r="G778" s="56"/>
      <c r="H778" s="57"/>
      <c r="J778" s="28"/>
    </row>
    <row r="779" customFormat="false" ht="15" hidden="false" customHeight="false" outlineLevel="0" collapsed="false">
      <c r="F779" s="55"/>
      <c r="G779" s="56"/>
      <c r="H779" s="57"/>
      <c r="J779" s="53"/>
    </row>
    <row r="780" customFormat="false" ht="15" hidden="false" customHeight="false" outlineLevel="0" collapsed="false">
      <c r="B780" s="54"/>
      <c r="F780" s="55"/>
      <c r="G780" s="56"/>
      <c r="H780" s="57"/>
      <c r="I780" s="57"/>
      <c r="J780" s="28"/>
    </row>
    <row r="781" customFormat="false" ht="15" hidden="false" customHeight="false" outlineLevel="0" collapsed="false">
      <c r="F781" s="55"/>
      <c r="H781" s="57"/>
      <c r="I781" s="28"/>
      <c r="J781" s="28"/>
    </row>
    <row r="782" customFormat="false" ht="15" hidden="false" customHeight="false" outlineLevel="0" collapsed="false">
      <c r="J782" s="53"/>
    </row>
    <row r="783" customFormat="false" ht="15" hidden="false" customHeight="false" outlineLevel="0" collapsed="false">
      <c r="B783" s="54"/>
    </row>
    <row r="784" customFormat="false" ht="15" hidden="false" customHeight="false" outlineLevel="0" collapsed="false">
      <c r="F784" s="55"/>
      <c r="H784" s="57"/>
      <c r="I784" s="28"/>
      <c r="J784" s="28"/>
    </row>
    <row r="785" customFormat="false" ht="15" hidden="false" customHeight="false" outlineLevel="0" collapsed="false">
      <c r="F785" s="55"/>
      <c r="G785" s="56"/>
      <c r="H785" s="57"/>
      <c r="J785" s="28"/>
    </row>
    <row r="786" customFormat="false" ht="15" hidden="false" customHeight="false" outlineLevel="0" collapsed="false">
      <c r="I786" s="14"/>
      <c r="J786" s="53"/>
    </row>
    <row r="788" customFormat="false" ht="15" hidden="false" customHeight="false" outlineLevel="0" collapsed="false">
      <c r="A788" s="14"/>
      <c r="B788" s="14"/>
      <c r="C788" s="14"/>
      <c r="D788" s="14"/>
    </row>
    <row r="789" customFormat="false" ht="15" hidden="false" customHeight="false" outlineLevel="0" collapsed="false">
      <c r="A789" s="14"/>
      <c r="B789" s="14"/>
      <c r="C789" s="36"/>
      <c r="D789" s="52"/>
      <c r="E789" s="36"/>
      <c r="F789" s="52"/>
      <c r="G789" s="14"/>
      <c r="I789" s="36"/>
      <c r="J789" s="53"/>
    </row>
    <row r="790" customFormat="false" ht="15" hidden="false" customHeight="false" outlineLevel="0" collapsed="false">
      <c r="A790" s="14"/>
      <c r="B790" s="14"/>
      <c r="F790" s="36"/>
      <c r="G790" s="36"/>
      <c r="H790" s="36"/>
      <c r="I790" s="36"/>
      <c r="J790" s="36"/>
    </row>
    <row r="791" customFormat="false" ht="15" hidden="false" customHeight="false" outlineLevel="0" collapsed="false">
      <c r="B791" s="54"/>
    </row>
    <row r="792" customFormat="false" ht="15" hidden="false" customHeight="false" outlineLevel="0" collapsed="false">
      <c r="F792" s="55"/>
      <c r="G792" s="56"/>
      <c r="H792" s="57"/>
      <c r="I792" s="28"/>
      <c r="J792" s="28"/>
    </row>
    <row r="793" customFormat="false" ht="15" hidden="false" customHeight="false" outlineLevel="0" collapsed="false">
      <c r="F793" s="55"/>
      <c r="G793" s="56"/>
      <c r="H793" s="57"/>
      <c r="J793" s="28"/>
    </row>
    <row r="794" customFormat="false" ht="15" hidden="false" customHeight="false" outlineLevel="0" collapsed="false">
      <c r="F794" s="55"/>
      <c r="G794" s="56"/>
      <c r="H794" s="57"/>
      <c r="J794" s="53"/>
    </row>
    <row r="795" customFormat="false" ht="15" hidden="false" customHeight="false" outlineLevel="0" collapsed="false">
      <c r="B795" s="54"/>
      <c r="F795" s="55"/>
      <c r="G795" s="56"/>
      <c r="H795" s="57"/>
      <c r="I795" s="57"/>
      <c r="J795" s="28"/>
    </row>
    <row r="796" customFormat="false" ht="15" hidden="false" customHeight="false" outlineLevel="0" collapsed="false">
      <c r="F796" s="55"/>
      <c r="H796" s="57"/>
      <c r="I796" s="28"/>
      <c r="J796" s="28"/>
    </row>
    <row r="797" customFormat="false" ht="15" hidden="false" customHeight="false" outlineLevel="0" collapsed="false">
      <c r="J797" s="53"/>
    </row>
    <row r="798" customFormat="false" ht="15" hidden="false" customHeight="false" outlineLevel="0" collapsed="false">
      <c r="B798" s="54"/>
    </row>
    <row r="799" customFormat="false" ht="15" hidden="false" customHeight="false" outlineLevel="0" collapsed="false">
      <c r="F799" s="55"/>
      <c r="H799" s="57"/>
      <c r="I799" s="28"/>
      <c r="J799" s="28"/>
    </row>
    <row r="800" customFormat="false" ht="15" hidden="false" customHeight="false" outlineLevel="0" collapsed="false">
      <c r="I800" s="14"/>
      <c r="J800" s="53"/>
    </row>
    <row r="802" customFormat="false" ht="15" hidden="false" customHeight="false" outlineLevel="0" collapsed="false">
      <c r="A802" s="14"/>
      <c r="B802" s="14"/>
      <c r="C802" s="14"/>
      <c r="D802" s="14"/>
    </row>
    <row r="803" customFormat="false" ht="15" hidden="false" customHeight="false" outlineLevel="0" collapsed="false">
      <c r="A803" s="14"/>
      <c r="B803" s="14"/>
      <c r="C803" s="36"/>
      <c r="D803" s="52"/>
      <c r="E803" s="36"/>
      <c r="F803" s="52"/>
      <c r="G803" s="14"/>
      <c r="I803" s="36"/>
      <c r="J803" s="53"/>
    </row>
    <row r="804" customFormat="false" ht="15" hidden="false" customHeight="false" outlineLevel="0" collapsed="false">
      <c r="A804" s="14"/>
      <c r="B804" s="14"/>
      <c r="F804" s="36"/>
      <c r="G804" s="36"/>
      <c r="H804" s="36"/>
      <c r="I804" s="36"/>
      <c r="J804" s="36"/>
    </row>
    <row r="805" customFormat="false" ht="15" hidden="false" customHeight="false" outlineLevel="0" collapsed="false">
      <c r="B805" s="54"/>
    </row>
    <row r="806" customFormat="false" ht="15" hidden="false" customHeight="false" outlineLevel="0" collapsed="false">
      <c r="F806" s="55"/>
      <c r="G806" s="56"/>
      <c r="H806" s="57"/>
      <c r="I806" s="28"/>
      <c r="J806" s="28"/>
    </row>
    <row r="807" customFormat="false" ht="15" hidden="false" customHeight="false" outlineLevel="0" collapsed="false">
      <c r="F807" s="55"/>
      <c r="G807" s="56"/>
      <c r="H807" s="57"/>
      <c r="J807" s="28"/>
    </row>
    <row r="808" customFormat="false" ht="15" hidden="false" customHeight="false" outlineLevel="0" collapsed="false">
      <c r="F808" s="55"/>
      <c r="G808" s="56"/>
      <c r="H808" s="57"/>
      <c r="J808" s="53"/>
    </row>
    <row r="809" customFormat="false" ht="15" hidden="false" customHeight="false" outlineLevel="0" collapsed="false">
      <c r="B809" s="54"/>
      <c r="F809" s="55"/>
      <c r="G809" s="56"/>
      <c r="H809" s="57"/>
      <c r="I809" s="57"/>
      <c r="J809" s="28"/>
    </row>
    <row r="810" customFormat="false" ht="15" hidden="false" customHeight="false" outlineLevel="0" collapsed="false">
      <c r="F810" s="55"/>
      <c r="H810" s="57"/>
      <c r="I810" s="28"/>
      <c r="J810" s="28"/>
    </row>
    <row r="811" customFormat="false" ht="15" hidden="false" customHeight="false" outlineLevel="0" collapsed="false">
      <c r="J811" s="53"/>
    </row>
    <row r="812" customFormat="false" ht="15" hidden="false" customHeight="false" outlineLevel="0" collapsed="false">
      <c r="B812" s="54"/>
    </row>
    <row r="813" customFormat="false" ht="15" hidden="false" customHeight="false" outlineLevel="0" collapsed="false">
      <c r="F813" s="55"/>
      <c r="H813" s="57"/>
      <c r="I813" s="28"/>
      <c r="J813" s="28"/>
    </row>
    <row r="814" customFormat="false" ht="15" hidden="false" customHeight="false" outlineLevel="0" collapsed="false">
      <c r="F814" s="55"/>
      <c r="G814" s="56"/>
      <c r="H814" s="57"/>
      <c r="J814" s="28"/>
    </row>
    <row r="815" customFormat="false" ht="15" hidden="false" customHeight="false" outlineLevel="0" collapsed="false">
      <c r="I815" s="14"/>
      <c r="J815" s="53"/>
    </row>
    <row r="817" customFormat="false" ht="15" hidden="false" customHeight="false" outlineLevel="0" collapsed="false">
      <c r="A817" s="14"/>
      <c r="B817" s="14"/>
      <c r="C817" s="14"/>
      <c r="D817" s="14"/>
    </row>
    <row r="818" customFormat="false" ht="15" hidden="false" customHeight="false" outlineLevel="0" collapsed="false">
      <c r="A818" s="14"/>
      <c r="B818" s="14"/>
      <c r="C818" s="36"/>
      <c r="D818" s="52"/>
      <c r="E818" s="36"/>
      <c r="F818" s="52"/>
      <c r="G818" s="14"/>
      <c r="I818" s="36"/>
      <c r="J818" s="53"/>
    </row>
    <row r="819" customFormat="false" ht="15" hidden="false" customHeight="false" outlineLevel="0" collapsed="false">
      <c r="A819" s="14"/>
      <c r="B819" s="14"/>
      <c r="F819" s="36"/>
      <c r="G819" s="36"/>
      <c r="H819" s="36"/>
      <c r="I819" s="36"/>
      <c r="J819" s="36"/>
    </row>
    <row r="820" customFormat="false" ht="15" hidden="false" customHeight="false" outlineLevel="0" collapsed="false">
      <c r="B820" s="54"/>
    </row>
    <row r="821" customFormat="false" ht="15" hidden="false" customHeight="false" outlineLevel="0" collapsed="false">
      <c r="F821" s="55"/>
      <c r="G821" s="56"/>
      <c r="H821" s="57"/>
      <c r="J821" s="28"/>
    </row>
    <row r="822" customFormat="false" ht="15" hidden="false" customHeight="false" outlineLevel="0" collapsed="false">
      <c r="F822" s="55"/>
      <c r="G822" s="56"/>
      <c r="H822" s="57"/>
      <c r="J822" s="53"/>
    </row>
    <row r="823" customFormat="false" ht="15" hidden="false" customHeight="false" outlineLevel="0" collapsed="false">
      <c r="B823" s="54"/>
      <c r="F823" s="55"/>
      <c r="G823" s="56"/>
      <c r="H823" s="57"/>
      <c r="I823" s="57"/>
      <c r="J823" s="28"/>
    </row>
    <row r="824" customFormat="false" ht="15" hidden="false" customHeight="false" outlineLevel="0" collapsed="false">
      <c r="F824" s="55"/>
      <c r="H824" s="57"/>
      <c r="I824" s="28"/>
      <c r="J824" s="28"/>
    </row>
    <row r="825" customFormat="false" ht="15" hidden="false" customHeight="false" outlineLevel="0" collapsed="false">
      <c r="J825" s="53"/>
    </row>
    <row r="826" customFormat="false" ht="15" hidden="false" customHeight="false" outlineLevel="0" collapsed="false">
      <c r="B826" s="54"/>
    </row>
    <row r="827" customFormat="false" ht="15" hidden="false" customHeight="false" outlineLevel="0" collapsed="false">
      <c r="F827" s="55"/>
      <c r="H827" s="57"/>
      <c r="I827" s="28"/>
      <c r="J827" s="28"/>
    </row>
    <row r="828" customFormat="false" ht="15" hidden="false" customHeight="false" outlineLevel="0" collapsed="false">
      <c r="I828" s="14"/>
      <c r="J828" s="53"/>
    </row>
    <row r="830" customFormat="false" ht="15" hidden="false" customHeight="false" outlineLevel="0" collapsed="false">
      <c r="A830" s="14"/>
      <c r="B830" s="14"/>
      <c r="C830" s="14"/>
      <c r="D830" s="14"/>
    </row>
    <row r="831" customFormat="false" ht="15" hidden="false" customHeight="false" outlineLevel="0" collapsed="false">
      <c r="A831" s="14"/>
      <c r="B831" s="14"/>
      <c r="C831" s="36"/>
      <c r="D831" s="52"/>
      <c r="E831" s="36"/>
      <c r="F831" s="52"/>
      <c r="G831" s="14"/>
      <c r="I831" s="36"/>
      <c r="J831" s="53"/>
    </row>
    <row r="832" customFormat="false" ht="15" hidden="false" customHeight="false" outlineLevel="0" collapsed="false">
      <c r="A832" s="14"/>
      <c r="B832" s="14"/>
      <c r="F832" s="36"/>
      <c r="G832" s="36"/>
      <c r="H832" s="36"/>
      <c r="I832" s="36"/>
      <c r="J832" s="36"/>
      <c r="L832" s="14"/>
    </row>
    <row r="833" customFormat="false" ht="15" hidden="false" customHeight="false" outlineLevel="0" collapsed="false">
      <c r="B833" s="54"/>
      <c r="L833" s="14"/>
    </row>
    <row r="834" customFormat="false" ht="15" hidden="false" customHeight="false" outlineLevel="0" collapsed="false">
      <c r="F834" s="55"/>
      <c r="G834" s="56"/>
      <c r="H834" s="57"/>
      <c r="J834" s="28"/>
      <c r="L834" s="14"/>
      <c r="M834" s="14"/>
    </row>
    <row r="835" customFormat="false" ht="15" hidden="false" customHeight="false" outlineLevel="0" collapsed="false">
      <c r="F835" s="55"/>
      <c r="G835" s="56"/>
      <c r="H835" s="57"/>
      <c r="J835" s="28"/>
      <c r="M835" s="54"/>
    </row>
    <row r="836" customFormat="false" ht="15" hidden="false" customHeight="false" outlineLevel="0" collapsed="false">
      <c r="F836" s="55"/>
      <c r="G836" s="56"/>
      <c r="H836" s="57"/>
      <c r="J836" s="28"/>
    </row>
    <row r="837" customFormat="false" ht="15" hidden="false" customHeight="false" outlineLevel="0" collapsed="false">
      <c r="F837" s="55"/>
      <c r="G837" s="56"/>
      <c r="H837" s="57"/>
      <c r="J837" s="53"/>
    </row>
    <row r="838" customFormat="false" ht="15" hidden="false" customHeight="false" outlineLevel="0" collapsed="false">
      <c r="B838" s="54"/>
      <c r="F838" s="55"/>
      <c r="G838" s="56"/>
      <c r="H838" s="57"/>
      <c r="I838" s="57"/>
      <c r="J838" s="28"/>
    </row>
    <row r="839" customFormat="false" ht="15" hidden="false" customHeight="false" outlineLevel="0" collapsed="false">
      <c r="F839" s="55"/>
      <c r="H839" s="57"/>
      <c r="I839" s="28"/>
      <c r="J839" s="28"/>
    </row>
    <row r="840" customFormat="false" ht="15" hidden="false" customHeight="false" outlineLevel="0" collapsed="false">
      <c r="J840" s="53"/>
    </row>
    <row r="841" customFormat="false" ht="15" hidden="false" customHeight="false" outlineLevel="0" collapsed="false">
      <c r="B841" s="54"/>
      <c r="M841" s="54"/>
    </row>
    <row r="842" customFormat="false" ht="15" hidden="false" customHeight="false" outlineLevel="0" collapsed="false">
      <c r="F842" s="55"/>
      <c r="H842" s="57"/>
      <c r="I842" s="28"/>
      <c r="J842" s="28"/>
    </row>
    <row r="843" customFormat="false" ht="15" hidden="false" customHeight="false" outlineLevel="0" collapsed="false">
      <c r="F843" s="55"/>
      <c r="G843" s="56"/>
      <c r="H843" s="57"/>
      <c r="J843" s="28"/>
    </row>
    <row r="844" customFormat="false" ht="15" hidden="false" customHeight="false" outlineLevel="0" collapsed="false">
      <c r="I844" s="14"/>
      <c r="J844" s="53"/>
      <c r="M844" s="54"/>
    </row>
    <row r="846" customFormat="false" ht="15" hidden="false" customHeight="false" outlineLevel="0" collapsed="false">
      <c r="A846" s="14"/>
      <c r="B846" s="14"/>
      <c r="C846" s="14"/>
      <c r="D846" s="14"/>
    </row>
    <row r="847" customFormat="false" ht="15" hidden="false" customHeight="false" outlineLevel="0" collapsed="false">
      <c r="A847" s="14"/>
      <c r="B847" s="14"/>
      <c r="C847" s="36"/>
      <c r="D847" s="52"/>
      <c r="E847" s="36"/>
      <c r="F847" s="52"/>
      <c r="G847" s="14"/>
      <c r="I847" s="36"/>
      <c r="J847" s="53"/>
    </row>
    <row r="848" customFormat="false" ht="15" hidden="false" customHeight="false" outlineLevel="0" collapsed="false">
      <c r="A848" s="14"/>
      <c r="B848" s="14"/>
      <c r="F848" s="36"/>
      <c r="G848" s="36"/>
      <c r="H848" s="36"/>
      <c r="I848" s="36"/>
      <c r="J848" s="36"/>
    </row>
    <row r="849" customFormat="false" ht="15" hidden="false" customHeight="false" outlineLevel="0" collapsed="false">
      <c r="B849" s="54"/>
    </row>
    <row r="850" customFormat="false" ht="15" hidden="false" customHeight="false" outlineLevel="0" collapsed="false">
      <c r="F850" s="55"/>
      <c r="G850" s="56"/>
      <c r="H850" s="57"/>
      <c r="J850" s="28"/>
    </row>
    <row r="851" customFormat="false" ht="15" hidden="false" customHeight="false" outlineLevel="0" collapsed="false">
      <c r="F851" s="55"/>
      <c r="G851" s="56"/>
      <c r="H851" s="57"/>
      <c r="J851" s="28"/>
    </row>
    <row r="852" customFormat="false" ht="15" hidden="false" customHeight="false" outlineLevel="0" collapsed="false">
      <c r="F852" s="55"/>
      <c r="G852" s="56"/>
      <c r="H852" s="57"/>
      <c r="J852" s="28"/>
    </row>
    <row r="853" customFormat="false" ht="15" hidden="false" customHeight="false" outlineLevel="0" collapsed="false">
      <c r="F853" s="55"/>
      <c r="G853" s="56"/>
      <c r="H853" s="57"/>
      <c r="J853" s="53"/>
    </row>
    <row r="854" customFormat="false" ht="15" hidden="false" customHeight="false" outlineLevel="0" collapsed="false">
      <c r="B854" s="54"/>
      <c r="F854" s="55"/>
      <c r="G854" s="56"/>
      <c r="H854" s="57"/>
      <c r="I854" s="57"/>
      <c r="J854" s="28"/>
    </row>
    <row r="855" customFormat="false" ht="15" hidden="false" customHeight="false" outlineLevel="0" collapsed="false">
      <c r="F855" s="55"/>
      <c r="H855" s="57"/>
      <c r="I855" s="28"/>
      <c r="J855" s="28"/>
    </row>
    <row r="856" customFormat="false" ht="15" hidden="false" customHeight="false" outlineLevel="0" collapsed="false">
      <c r="F856" s="55"/>
      <c r="H856" s="57"/>
      <c r="I856" s="28"/>
      <c r="J856" s="28"/>
    </row>
    <row r="857" customFormat="false" ht="15" hidden="false" customHeight="false" outlineLevel="0" collapsed="false">
      <c r="F857" s="55"/>
      <c r="H857" s="57"/>
      <c r="I857" s="28"/>
      <c r="J857" s="28"/>
    </row>
    <row r="858" customFormat="false" ht="15" hidden="false" customHeight="false" outlineLevel="0" collapsed="false">
      <c r="J858" s="53"/>
    </row>
    <row r="859" customFormat="false" ht="15" hidden="false" customHeight="false" outlineLevel="0" collapsed="false">
      <c r="B859" s="54"/>
    </row>
    <row r="860" customFormat="false" ht="15" hidden="false" customHeight="false" outlineLevel="0" collapsed="false">
      <c r="F860" s="55"/>
      <c r="H860" s="57"/>
      <c r="I860" s="28"/>
      <c r="J860" s="28"/>
    </row>
    <row r="861" customFormat="false" ht="15" hidden="false" customHeight="false" outlineLevel="0" collapsed="false">
      <c r="I861" s="14"/>
      <c r="J861" s="5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P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3" activeCellId="0" sqref="H13"/>
    </sheetView>
  </sheetViews>
  <sheetFormatPr defaultColWidth="8.59765625" defaultRowHeight="15" zeroHeight="false" outlineLevelRow="0" outlineLevelCol="0"/>
  <cols>
    <col collapsed="false" customWidth="true" hidden="false" outlineLevel="0" max="10" min="10" style="1" width="13.43"/>
    <col collapsed="false" customWidth="true" hidden="false" outlineLevel="0" max="11" min="11" style="1" width="14"/>
  </cols>
  <sheetData>
    <row r="1" customFormat="false" ht="15" hidden="false" customHeight="false" outlineLevel="0" collapsed="false">
      <c r="G1" s="36" t="s">
        <v>123</v>
      </c>
      <c r="H1" s="36" t="s">
        <v>124</v>
      </c>
      <c r="I1" s="36" t="s">
        <v>125</v>
      </c>
      <c r="J1" s="36" t="s">
        <v>454</v>
      </c>
      <c r="K1" s="36" t="s">
        <v>455</v>
      </c>
    </row>
    <row r="2" customFormat="false" ht="15" hidden="false" customHeight="false" outlineLevel="0" collapsed="false">
      <c r="A2" s="14" t="n">
        <v>5</v>
      </c>
      <c r="B2" s="66" t="s">
        <v>1050</v>
      </c>
      <c r="J2" s="6"/>
      <c r="K2" s="38" t="n">
        <f aca="false">J3+J8</f>
        <v>354578.321768</v>
      </c>
      <c r="O2" s="14"/>
      <c r="P2" s="14"/>
    </row>
    <row r="3" customFormat="false" ht="15" hidden="false" customHeight="false" outlineLevel="0" collapsed="false">
      <c r="A3" s="14" t="n">
        <v>5.01</v>
      </c>
      <c r="B3" s="13" t="s">
        <v>1051</v>
      </c>
      <c r="J3" s="40" t="n">
        <f aca="false">SUM(J4:J7)</f>
        <v>249255.421312</v>
      </c>
      <c r="K3" s="9"/>
      <c r="P3" s="14"/>
    </row>
    <row r="4" customFormat="false" ht="15" hidden="false" customHeight="false" outlineLevel="0" collapsed="false">
      <c r="A4" s="14" t="s">
        <v>1052</v>
      </c>
      <c r="B4" s="1" t="s">
        <v>1053</v>
      </c>
      <c r="G4" s="6" t="s">
        <v>215</v>
      </c>
      <c r="H4" s="28" t="n">
        <f aca="false">ROUNDUP(SUM(BIBLIOTECA:INGRESO!G59:G59),0)</f>
        <v>618</v>
      </c>
      <c r="I4" s="28" t="n">
        <f aca="false">'APUS ELECTRICAS'!J5</f>
        <v>121.043104</v>
      </c>
      <c r="J4" s="9" t="n">
        <f aca="false">H4*I4</f>
        <v>74804.638272</v>
      </c>
      <c r="P4" s="14"/>
    </row>
    <row r="5" customFormat="false" ht="15" hidden="false" customHeight="false" outlineLevel="0" collapsed="false">
      <c r="A5" s="14" t="s">
        <v>1054</v>
      </c>
      <c r="B5" s="1" t="s">
        <v>1055</v>
      </c>
      <c r="G5" s="6" t="s">
        <v>215</v>
      </c>
      <c r="H5" s="28" t="n">
        <f aca="false">ROUNDUP(SUM(BIBLIOTECA:INGRESO!G60:G60),0)</f>
        <v>618</v>
      </c>
      <c r="I5" s="28" t="n">
        <f aca="false">'APUS ELECTRICAS'!J26</f>
        <v>163.73838</v>
      </c>
      <c r="J5" s="9" t="n">
        <f aca="false">H5*I5</f>
        <v>101190.31884</v>
      </c>
      <c r="K5" s="151"/>
    </row>
    <row r="6" customFormat="false" ht="15" hidden="false" customHeight="false" outlineLevel="0" collapsed="false">
      <c r="A6" s="14" t="s">
        <v>1056</v>
      </c>
      <c r="B6" s="1" t="s">
        <v>1057</v>
      </c>
      <c r="G6" s="6" t="s">
        <v>215</v>
      </c>
      <c r="H6" s="28" t="n">
        <f aca="false">ROUNDUP(SUM(BIBLIOTECA:INGRESO!G61:G61),0)</f>
        <v>618</v>
      </c>
      <c r="I6" s="28" t="n">
        <f aca="false">'APUS ELECTRICAS'!J48</f>
        <v>118.3069</v>
      </c>
      <c r="J6" s="9" t="n">
        <f aca="false">H6*I6</f>
        <v>73113.6642</v>
      </c>
    </row>
    <row r="7" customFormat="false" ht="15" hidden="false" customHeight="false" outlineLevel="0" collapsed="false">
      <c r="A7" s="14" t="s">
        <v>1058</v>
      </c>
      <c r="B7" s="1" t="s">
        <v>1059</v>
      </c>
      <c r="G7" s="6" t="s">
        <v>215</v>
      </c>
      <c r="H7" s="28" t="n">
        <f aca="false">ROUNDUP(SUM(BIBLIOTECA:INGRESO!G62:G62),0)</f>
        <v>20</v>
      </c>
      <c r="I7" s="28" t="n">
        <f aca="false">'APUS ELECTRICAS'!J66</f>
        <v>7.34</v>
      </c>
      <c r="J7" s="9" t="n">
        <f aca="false">H7*I7</f>
        <v>146.8</v>
      </c>
    </row>
    <row r="8" customFormat="false" ht="15" hidden="false" customHeight="false" outlineLevel="0" collapsed="false">
      <c r="A8" s="14" t="n">
        <v>5.02</v>
      </c>
      <c r="B8" s="13" t="s">
        <v>1060</v>
      </c>
      <c r="G8" s="6"/>
      <c r="H8" s="28"/>
      <c r="I8" s="28"/>
      <c r="J8" s="40" t="n">
        <f aca="false">SUM(J9:J14)</f>
        <v>105322.900456</v>
      </c>
    </row>
    <row r="9" customFormat="false" ht="15" hidden="false" customHeight="false" outlineLevel="0" collapsed="false">
      <c r="A9" s="14" t="s">
        <v>1061</v>
      </c>
      <c r="B9" s="1" t="s">
        <v>1062</v>
      </c>
      <c r="G9" s="6" t="s">
        <v>150</v>
      </c>
      <c r="H9" s="28" t="n">
        <f aca="false">ROUNDUP(SUM(BIBLIOTECA:INGRESO!G64:G64),0)</f>
        <v>203</v>
      </c>
      <c r="I9" s="28" t="n">
        <f aca="false">'APUS ELECTRICAS'!J74</f>
        <v>396.145032</v>
      </c>
      <c r="J9" s="9" t="n">
        <f aca="false">H9*I9</f>
        <v>80417.441496</v>
      </c>
      <c r="P9" s="14"/>
    </row>
    <row r="10" customFormat="false" ht="15" hidden="false" customHeight="false" outlineLevel="0" collapsed="false">
      <c r="A10" s="14" t="s">
        <v>1063</v>
      </c>
      <c r="B10" s="1" t="s">
        <v>1064</v>
      </c>
      <c r="G10" s="6" t="s">
        <v>150</v>
      </c>
      <c r="H10" s="28" t="n">
        <f aca="false">ROUNDUP(SUM(BIBLIOTECA:INGRESO!G65:G65),0)</f>
        <v>204</v>
      </c>
      <c r="I10" s="28" t="n">
        <f aca="false">'APUS ELECTRICAS'!J88</f>
        <v>105.9636</v>
      </c>
      <c r="J10" s="9" t="n">
        <f aca="false">H10*I10</f>
        <v>21616.5744</v>
      </c>
    </row>
    <row r="11" customFormat="false" ht="15" hidden="false" customHeight="false" outlineLevel="0" collapsed="false">
      <c r="A11" s="14" t="s">
        <v>1065</v>
      </c>
      <c r="B11" s="1" t="s">
        <v>1066</v>
      </c>
      <c r="G11" s="6" t="s">
        <v>150</v>
      </c>
      <c r="H11" s="28" t="n">
        <f aca="false">ROUNDUP(SUM(BIBLIOTECA:INGRESO!G66:G66),0)</f>
        <v>6</v>
      </c>
      <c r="I11" s="28" t="n">
        <f aca="false">'APUS ELECTRICAS'!J106</f>
        <v>143.11</v>
      </c>
      <c r="J11" s="9" t="n">
        <f aca="false">H11*I11</f>
        <v>858.66</v>
      </c>
    </row>
    <row r="12" customFormat="false" ht="15" hidden="false" customHeight="false" outlineLevel="0" collapsed="false">
      <c r="A12" s="14" t="s">
        <v>1067</v>
      </c>
      <c r="B12" s="1" t="s">
        <v>1068</v>
      </c>
      <c r="G12" s="6" t="s">
        <v>150</v>
      </c>
      <c r="H12" s="28" t="n">
        <f aca="false">ROUNDUP(SUM(BIBLIOTECA:INGRESO!G67:G67),0)</f>
        <v>4</v>
      </c>
      <c r="I12" s="28" t="n">
        <f aca="false">'APUS ELECTRICAS'!J114</f>
        <v>86.81614</v>
      </c>
      <c r="J12" s="9" t="n">
        <f aca="false">H12*I12</f>
        <v>347.26456</v>
      </c>
    </row>
    <row r="13" customFormat="false" ht="15" hidden="false" customHeight="false" outlineLevel="0" collapsed="false">
      <c r="A13" s="14" t="s">
        <v>1069</v>
      </c>
      <c r="B13" s="1" t="s">
        <v>1070</v>
      </c>
      <c r="G13" s="6" t="s">
        <v>150</v>
      </c>
      <c r="H13" s="28" t="n">
        <f aca="false">'Datos iniciales '!B69</f>
        <v>22</v>
      </c>
      <c r="I13" s="46" t="n">
        <f aca="false">'APUS ELECTRICAS'!J133</f>
        <v>87.34</v>
      </c>
      <c r="J13" s="9" t="n">
        <f aca="false">H13*I13</f>
        <v>1921.48</v>
      </c>
    </row>
    <row r="14" customFormat="false" ht="15" hidden="false" customHeight="false" outlineLevel="0" collapsed="false">
      <c r="A14" s="14" t="s">
        <v>1071</v>
      </c>
      <c r="B14" s="1" t="s">
        <v>1072</v>
      </c>
      <c r="G14" s="6" t="s">
        <v>150</v>
      </c>
      <c r="H14" s="28" t="n">
        <f aca="false">'Datos iniciales '!B69</f>
        <v>22</v>
      </c>
      <c r="I14" s="46" t="n">
        <f aca="false">'APUS ELECTRICAS'!J140</f>
        <v>7.34</v>
      </c>
      <c r="J14" s="9" t="n">
        <f aca="false">H14*I14</f>
        <v>161.48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4:T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12" activeCellId="0" sqref="K112"/>
    </sheetView>
  </sheetViews>
  <sheetFormatPr defaultColWidth="8.59765625" defaultRowHeight="15" zeroHeight="false" outlineLevelRow="0" outlineLevelCol="0"/>
  <cols>
    <col collapsed="false" customWidth="true" hidden="false" outlineLevel="0" max="9" min="9" style="1" width="9.3"/>
    <col collapsed="false" customWidth="true" hidden="false" outlineLevel="0" max="17" min="16" style="1" width="10.86"/>
  </cols>
  <sheetData>
    <row r="4" customFormat="false" ht="15" hidden="false" customHeight="false" outlineLevel="0" collapsed="false">
      <c r="A4" s="14" t="s">
        <v>278</v>
      </c>
      <c r="B4" s="14" t="str">
        <f aca="false">ELECTRICAS!A4</f>
        <v>05.01.01</v>
      </c>
      <c r="C4" s="14" t="s">
        <v>1073</v>
      </c>
      <c r="D4" s="14"/>
    </row>
    <row r="5" customFormat="false" ht="15" hidden="false" customHeight="false" outlineLevel="0" collapsed="false">
      <c r="A5" s="14" t="s">
        <v>279</v>
      </c>
      <c r="B5" s="14" t="s">
        <v>414</v>
      </c>
      <c r="C5" s="36" t="s">
        <v>281</v>
      </c>
      <c r="D5" s="52" t="n">
        <v>5</v>
      </c>
      <c r="E5" s="36" t="s">
        <v>282</v>
      </c>
      <c r="F5" s="52" t="n">
        <f aca="false">D5</f>
        <v>5</v>
      </c>
      <c r="G5" s="14" t="s">
        <v>283</v>
      </c>
      <c r="I5" s="36" t="s">
        <v>215</v>
      </c>
      <c r="J5" s="53" t="n">
        <f aca="false">J11+J20+J23</f>
        <v>121.043104</v>
      </c>
    </row>
    <row r="6" customFormat="false" ht="15" hidden="false" customHeight="false" outlineLevel="0" collapsed="false">
      <c r="A6" s="14" t="s">
        <v>284</v>
      </c>
      <c r="B6" s="14" t="s">
        <v>285</v>
      </c>
      <c r="F6" s="36" t="s">
        <v>123</v>
      </c>
      <c r="G6" s="36" t="s">
        <v>286</v>
      </c>
      <c r="H6" s="36" t="s">
        <v>287</v>
      </c>
      <c r="I6" s="36" t="s">
        <v>288</v>
      </c>
      <c r="J6" s="36" t="s">
        <v>289</v>
      </c>
    </row>
    <row r="7" customFormat="false" ht="15" hidden="false" customHeight="false" outlineLevel="0" collapsed="false">
      <c r="B7" s="54" t="s">
        <v>290</v>
      </c>
    </row>
    <row r="8" customFormat="false" ht="15" hidden="false" customHeight="false" outlineLevel="0" collapsed="false">
      <c r="B8" s="1" t="s">
        <v>651</v>
      </c>
      <c r="F8" s="55" t="s">
        <v>292</v>
      </c>
      <c r="G8" s="56" t="n">
        <v>0.1</v>
      </c>
      <c r="H8" s="57" t="n">
        <f aca="false">G8*8/$D$5</f>
        <v>0.16</v>
      </c>
      <c r="I8" s="28" t="n">
        <v>34.73</v>
      </c>
      <c r="J8" s="28" t="n">
        <f aca="false">H8*I8</f>
        <v>5.5568</v>
      </c>
    </row>
    <row r="9" customFormat="false" ht="15" hidden="false" customHeight="false" outlineLevel="0" collapsed="false">
      <c r="B9" s="1" t="s">
        <v>405</v>
      </c>
      <c r="F9" s="55" t="s">
        <v>292</v>
      </c>
      <c r="G9" s="56" t="n">
        <v>1</v>
      </c>
      <c r="H9" s="57" t="n">
        <f aca="false">G9*8/$D$5</f>
        <v>1.6</v>
      </c>
      <c r="I9" s="1" t="n">
        <v>28.94</v>
      </c>
      <c r="J9" s="28" t="n">
        <f aca="false">H9*I9</f>
        <v>46.304</v>
      </c>
    </row>
    <row r="10" customFormat="false" ht="15" hidden="false" customHeight="false" outlineLevel="0" collapsed="false">
      <c r="B10" s="1" t="s">
        <v>294</v>
      </c>
      <c r="F10" s="55" t="s">
        <v>292</v>
      </c>
      <c r="G10" s="56" t="n">
        <v>1</v>
      </c>
      <c r="H10" s="57" t="n">
        <f aca="false">G10*8/$D$5</f>
        <v>1.6</v>
      </c>
      <c r="I10" s="1" t="n">
        <v>20.51</v>
      </c>
      <c r="J10" s="28" t="n">
        <f aca="false">H10*I10</f>
        <v>32.816</v>
      </c>
    </row>
    <row r="11" customFormat="false" ht="15" hidden="false" customHeight="false" outlineLevel="0" collapsed="false">
      <c r="J11" s="53" t="n">
        <f aca="false">SUM(J8:J10)</f>
        <v>84.6768</v>
      </c>
    </row>
    <row r="12" customFormat="false" ht="15" hidden="false" customHeight="false" outlineLevel="0" collapsed="false">
      <c r="B12" s="54" t="s">
        <v>654</v>
      </c>
      <c r="F12" s="55"/>
      <c r="G12" s="56"/>
      <c r="H12" s="57"/>
      <c r="J12" s="28"/>
    </row>
    <row r="13" customFormat="false" ht="15" hidden="false" customHeight="false" outlineLevel="0" collapsed="false">
      <c r="B13" s="1" t="s">
        <v>1074</v>
      </c>
      <c r="F13" s="55" t="s">
        <v>150</v>
      </c>
      <c r="H13" s="57" t="n">
        <v>1.5</v>
      </c>
      <c r="I13" s="1" t="n">
        <v>10.68</v>
      </c>
      <c r="J13" s="28" t="n">
        <f aca="false">H13*I13</f>
        <v>16.02</v>
      </c>
    </row>
    <row r="14" customFormat="false" ht="15" hidden="false" customHeight="false" outlineLevel="0" collapsed="false">
      <c r="B14" s="1" t="s">
        <v>1075</v>
      </c>
      <c r="F14" s="55" t="s">
        <v>150</v>
      </c>
      <c r="H14" s="57" t="n">
        <v>3</v>
      </c>
      <c r="I14" s="1" t="n">
        <v>2.12</v>
      </c>
      <c r="J14" s="28" t="n">
        <f aca="false">H14*I14</f>
        <v>6.36</v>
      </c>
    </row>
    <row r="15" customFormat="false" ht="15" hidden="false" customHeight="false" outlineLevel="0" collapsed="false">
      <c r="B15" s="1" t="s">
        <v>1076</v>
      </c>
      <c r="F15" s="55" t="s">
        <v>150</v>
      </c>
      <c r="H15" s="57" t="n">
        <v>1</v>
      </c>
      <c r="I15" s="1" t="n">
        <v>0.68</v>
      </c>
      <c r="J15" s="28" t="n">
        <f aca="false">H15*I15</f>
        <v>0.68</v>
      </c>
    </row>
    <row r="16" customFormat="false" ht="15" hidden="false" customHeight="false" outlineLevel="0" collapsed="false">
      <c r="B16" s="1" t="s">
        <v>1077</v>
      </c>
      <c r="F16" s="55" t="s">
        <v>150</v>
      </c>
      <c r="H16" s="57" t="n">
        <v>1</v>
      </c>
      <c r="I16" s="1" t="n">
        <v>0.51</v>
      </c>
      <c r="J16" s="28" t="n">
        <f aca="false">H16*I16</f>
        <v>0.51</v>
      </c>
    </row>
    <row r="17" customFormat="false" ht="15" hidden="false" customHeight="false" outlineLevel="0" collapsed="false">
      <c r="B17" s="1" t="s">
        <v>1078</v>
      </c>
      <c r="F17" s="55" t="s">
        <v>150</v>
      </c>
      <c r="H17" s="57" t="n">
        <v>0.1</v>
      </c>
      <c r="I17" s="1" t="n">
        <v>4.66</v>
      </c>
      <c r="J17" s="28" t="n">
        <f aca="false">H17*I17</f>
        <v>0.466</v>
      </c>
    </row>
    <row r="18" customFormat="false" ht="15" hidden="false" customHeight="false" outlineLevel="0" collapsed="false">
      <c r="B18" s="1" t="s">
        <v>1079</v>
      </c>
      <c r="F18" s="55" t="s">
        <v>150</v>
      </c>
      <c r="H18" s="57" t="n">
        <v>1</v>
      </c>
      <c r="I18" s="1" t="n">
        <v>1.69</v>
      </c>
      <c r="J18" s="28" t="n">
        <f aca="false">H18*I18</f>
        <v>1.69</v>
      </c>
    </row>
    <row r="19" customFormat="false" ht="15" hidden="false" customHeight="false" outlineLevel="0" collapsed="false">
      <c r="B19" s="1" t="s">
        <v>1080</v>
      </c>
      <c r="F19" s="55" t="s">
        <v>145</v>
      </c>
      <c r="H19" s="57" t="n">
        <v>9</v>
      </c>
      <c r="I19" s="1" t="n">
        <v>0.9</v>
      </c>
      <c r="J19" s="28" t="n">
        <f aca="false">H19*I19</f>
        <v>8.1</v>
      </c>
    </row>
    <row r="20" customFormat="false" ht="15" hidden="false" customHeight="false" outlineLevel="0" collapsed="false">
      <c r="J20" s="53" t="n">
        <f aca="false">SUM(J13:J19)</f>
        <v>33.826</v>
      </c>
    </row>
    <row r="21" customFormat="false" ht="15" hidden="false" customHeight="false" outlineLevel="0" collapsed="false">
      <c r="B21" s="54" t="s">
        <v>310</v>
      </c>
    </row>
    <row r="22" customFormat="false" ht="15" hidden="false" customHeight="false" outlineLevel="0" collapsed="false">
      <c r="B22" s="1" t="s">
        <v>311</v>
      </c>
      <c r="F22" s="55" t="s">
        <v>312</v>
      </c>
      <c r="H22" s="57" t="n">
        <v>3</v>
      </c>
      <c r="I22" s="28" t="n">
        <f aca="false">J11</f>
        <v>84.6768</v>
      </c>
      <c r="J22" s="28" t="n">
        <f aca="false">H22%*I22</f>
        <v>2.540304</v>
      </c>
    </row>
    <row r="23" customFormat="false" ht="15" hidden="false" customHeight="false" outlineLevel="0" collapsed="false">
      <c r="A23" s="60"/>
      <c r="B23" s="60"/>
      <c r="C23" s="60"/>
      <c r="D23" s="60"/>
      <c r="E23" s="60"/>
      <c r="F23" s="60"/>
      <c r="G23" s="60"/>
      <c r="H23" s="60"/>
      <c r="I23" s="80"/>
      <c r="J23" s="61" t="n">
        <f aca="false">SUM(J22)</f>
        <v>2.540304</v>
      </c>
    </row>
    <row r="25" customFormat="false" ht="15" hidden="false" customHeight="false" outlineLevel="0" collapsed="false">
      <c r="A25" s="14" t="s">
        <v>278</v>
      </c>
      <c r="B25" s="14" t="str">
        <f aca="false">ELECTRICAS!A5</f>
        <v>05.01.02</v>
      </c>
      <c r="C25" s="14" t="s">
        <v>1081</v>
      </c>
      <c r="D25" s="14"/>
    </row>
    <row r="26" customFormat="false" ht="15" hidden="false" customHeight="false" outlineLevel="0" collapsed="false">
      <c r="A26" s="14" t="s">
        <v>279</v>
      </c>
      <c r="B26" s="14" t="s">
        <v>414</v>
      </c>
      <c r="C26" s="36" t="s">
        <v>281</v>
      </c>
      <c r="D26" s="52" t="n">
        <v>4</v>
      </c>
      <c r="E26" s="36" t="s">
        <v>282</v>
      </c>
      <c r="F26" s="52" t="n">
        <f aca="false">D26</f>
        <v>4</v>
      </c>
      <c r="G26" s="14" t="s">
        <v>283</v>
      </c>
      <c r="I26" s="36" t="s">
        <v>215</v>
      </c>
      <c r="J26" s="53" t="n">
        <f aca="false">J32+J42+J45</f>
        <v>163.73838</v>
      </c>
    </row>
    <row r="27" customFormat="false" ht="15" hidden="false" customHeight="false" outlineLevel="0" collapsed="false">
      <c r="A27" s="14" t="s">
        <v>284</v>
      </c>
      <c r="B27" s="14" t="s">
        <v>285</v>
      </c>
      <c r="F27" s="36" t="s">
        <v>123</v>
      </c>
      <c r="G27" s="36" t="s">
        <v>286</v>
      </c>
      <c r="H27" s="36" t="s">
        <v>287</v>
      </c>
      <c r="I27" s="36" t="s">
        <v>288</v>
      </c>
      <c r="J27" s="36" t="s">
        <v>289</v>
      </c>
    </row>
    <row r="28" customFormat="false" ht="15" hidden="false" customHeight="false" outlineLevel="0" collapsed="false">
      <c r="B28" s="54" t="s">
        <v>290</v>
      </c>
    </row>
    <row r="29" customFormat="false" ht="15" hidden="false" customHeight="false" outlineLevel="0" collapsed="false">
      <c r="B29" s="1" t="s">
        <v>651</v>
      </c>
      <c r="F29" s="55" t="s">
        <v>292</v>
      </c>
      <c r="G29" s="56" t="n">
        <v>0.1</v>
      </c>
      <c r="H29" s="57" t="n">
        <f aca="false">G29*8/$D$26</f>
        <v>0.2</v>
      </c>
      <c r="I29" s="28" t="n">
        <v>34.73</v>
      </c>
      <c r="J29" s="28" t="n">
        <f aca="false">H29*I29</f>
        <v>6.946</v>
      </c>
    </row>
    <row r="30" customFormat="false" ht="15" hidden="false" customHeight="false" outlineLevel="0" collapsed="false">
      <c r="B30" s="1" t="s">
        <v>405</v>
      </c>
      <c r="F30" s="55" t="s">
        <v>292</v>
      </c>
      <c r="G30" s="56" t="n">
        <v>1</v>
      </c>
      <c r="H30" s="57" t="n">
        <f aca="false">G30*8/$D$26</f>
        <v>2</v>
      </c>
      <c r="I30" s="1" t="n">
        <v>28.94</v>
      </c>
      <c r="J30" s="28" t="n">
        <f aca="false">H30*I30</f>
        <v>57.88</v>
      </c>
    </row>
    <row r="31" customFormat="false" ht="15" hidden="false" customHeight="false" outlineLevel="0" collapsed="false">
      <c r="B31" s="1" t="s">
        <v>294</v>
      </c>
      <c r="F31" s="55" t="s">
        <v>292</v>
      </c>
      <c r="G31" s="56" t="n">
        <v>1</v>
      </c>
      <c r="H31" s="57" t="n">
        <f aca="false">G31*8/$D$26</f>
        <v>2</v>
      </c>
      <c r="I31" s="1" t="n">
        <v>20.51</v>
      </c>
      <c r="J31" s="28" t="n">
        <f aca="false">H31*I31</f>
        <v>41.02</v>
      </c>
    </row>
    <row r="32" customFormat="false" ht="15" hidden="false" customHeight="false" outlineLevel="0" collapsed="false">
      <c r="J32" s="53" t="n">
        <f aca="false">SUM(J29:J31)</f>
        <v>105.846</v>
      </c>
    </row>
    <row r="33" customFormat="false" ht="15" hidden="false" customHeight="false" outlineLevel="0" collapsed="false">
      <c r="B33" s="54" t="s">
        <v>654</v>
      </c>
      <c r="F33" s="55"/>
      <c r="G33" s="56"/>
      <c r="H33" s="57"/>
      <c r="J33" s="28"/>
    </row>
    <row r="34" customFormat="false" ht="15" hidden="false" customHeight="false" outlineLevel="0" collapsed="false">
      <c r="B34" s="1" t="s">
        <v>1074</v>
      </c>
      <c r="F34" s="55" t="s">
        <v>150</v>
      </c>
      <c r="H34" s="57" t="n">
        <v>1.5</v>
      </c>
      <c r="I34" s="1" t="n">
        <v>10.68</v>
      </c>
      <c r="J34" s="28" t="n">
        <f aca="false">H34*I34</f>
        <v>16.02</v>
      </c>
    </row>
    <row r="35" customFormat="false" ht="15" hidden="false" customHeight="false" outlineLevel="0" collapsed="false">
      <c r="B35" s="1" t="s">
        <v>1075</v>
      </c>
      <c r="F35" s="55" t="s">
        <v>150</v>
      </c>
      <c r="H35" s="57" t="n">
        <v>3</v>
      </c>
      <c r="I35" s="1" t="n">
        <v>2.12</v>
      </c>
      <c r="J35" s="28" t="n">
        <f aca="false">H35*I35</f>
        <v>6.36</v>
      </c>
    </row>
    <row r="36" customFormat="false" ht="15" hidden="false" customHeight="false" outlineLevel="0" collapsed="false">
      <c r="B36" s="1" t="s">
        <v>1076</v>
      </c>
      <c r="F36" s="55" t="s">
        <v>150</v>
      </c>
      <c r="H36" s="57" t="n">
        <v>1</v>
      </c>
      <c r="I36" s="1" t="n">
        <v>0.68</v>
      </c>
      <c r="J36" s="28" t="n">
        <f aca="false">H36*I36</f>
        <v>0.68</v>
      </c>
    </row>
    <row r="37" customFormat="false" ht="15" hidden="false" customHeight="false" outlineLevel="0" collapsed="false">
      <c r="B37" s="1" t="s">
        <v>1077</v>
      </c>
      <c r="F37" s="55" t="s">
        <v>150</v>
      </c>
      <c r="H37" s="57" t="n">
        <v>2</v>
      </c>
      <c r="I37" s="1" t="n">
        <v>0.51</v>
      </c>
      <c r="J37" s="28" t="n">
        <f aca="false">H37*I37</f>
        <v>1.02</v>
      </c>
    </row>
    <row r="38" customFormat="false" ht="15" hidden="false" customHeight="false" outlineLevel="0" collapsed="false">
      <c r="B38" s="1" t="s">
        <v>1078</v>
      </c>
      <c r="F38" s="55" t="s">
        <v>150</v>
      </c>
      <c r="H38" s="57" t="n">
        <v>0.1</v>
      </c>
      <c r="I38" s="1" t="n">
        <v>4.66</v>
      </c>
      <c r="J38" s="28" t="n">
        <f aca="false">H38*I38</f>
        <v>0.466</v>
      </c>
    </row>
    <row r="39" customFormat="false" ht="15" hidden="false" customHeight="false" outlineLevel="0" collapsed="false">
      <c r="B39" s="1" t="s">
        <v>1082</v>
      </c>
      <c r="F39" s="55" t="s">
        <v>150</v>
      </c>
      <c r="H39" s="57" t="n">
        <v>1.05</v>
      </c>
      <c r="I39" s="1" t="n">
        <v>16.02</v>
      </c>
      <c r="J39" s="28" t="n">
        <f aca="false">H39*I39</f>
        <v>16.821</v>
      </c>
    </row>
    <row r="40" customFormat="false" ht="15" hidden="false" customHeight="false" outlineLevel="0" collapsed="false">
      <c r="B40" s="1" t="s">
        <v>1083</v>
      </c>
      <c r="F40" s="55" t="s">
        <v>150</v>
      </c>
      <c r="H40" s="1" t="n">
        <v>1.05</v>
      </c>
      <c r="I40" s="1" t="n">
        <v>5</v>
      </c>
      <c r="J40" s="28" t="n">
        <f aca="false">H40*I40</f>
        <v>5.25</v>
      </c>
    </row>
    <row r="41" customFormat="false" ht="15" hidden="false" customHeight="false" outlineLevel="0" collapsed="false">
      <c r="B41" s="1" t="s">
        <v>1080</v>
      </c>
      <c r="F41" s="55" t="s">
        <v>145</v>
      </c>
      <c r="H41" s="57" t="n">
        <v>9</v>
      </c>
      <c r="I41" s="1" t="n">
        <v>0.9</v>
      </c>
      <c r="J41" s="28" t="n">
        <f aca="false">H41*I41</f>
        <v>8.1</v>
      </c>
    </row>
    <row r="42" customFormat="false" ht="15" hidden="false" customHeight="false" outlineLevel="0" collapsed="false">
      <c r="J42" s="53" t="n">
        <f aca="false">SUM(J34:J41)</f>
        <v>54.717</v>
      </c>
    </row>
    <row r="43" customFormat="false" ht="15" hidden="false" customHeight="false" outlineLevel="0" collapsed="false">
      <c r="B43" s="54" t="s">
        <v>310</v>
      </c>
    </row>
    <row r="44" customFormat="false" ht="15" hidden="false" customHeight="false" outlineLevel="0" collapsed="false">
      <c r="B44" s="1" t="s">
        <v>311</v>
      </c>
      <c r="F44" s="55" t="s">
        <v>312</v>
      </c>
      <c r="H44" s="57" t="n">
        <v>3</v>
      </c>
      <c r="I44" s="28" t="n">
        <f aca="false">J32</f>
        <v>105.846</v>
      </c>
      <c r="J44" s="28" t="n">
        <f aca="false">H44%*I44</f>
        <v>3.17538</v>
      </c>
    </row>
    <row r="45" customFormat="false" ht="15" hidden="false" customHeight="false" outlineLevel="0" collapsed="false">
      <c r="A45" s="60"/>
      <c r="B45" s="60"/>
      <c r="C45" s="60"/>
      <c r="D45" s="60"/>
      <c r="E45" s="60"/>
      <c r="F45" s="60"/>
      <c r="G45" s="60"/>
      <c r="H45" s="60"/>
      <c r="I45" s="80"/>
      <c r="J45" s="61" t="n">
        <f aca="false">SUM(J44)</f>
        <v>3.17538</v>
      </c>
    </row>
    <row r="47" customFormat="false" ht="15" hidden="false" customHeight="false" outlineLevel="0" collapsed="false">
      <c r="A47" s="14" t="s">
        <v>278</v>
      </c>
      <c r="B47" s="14" t="str">
        <f aca="false">ELECTRICAS!A6</f>
        <v>05.01.03</v>
      </c>
      <c r="C47" s="14" t="s">
        <v>1084</v>
      </c>
      <c r="D47" s="14"/>
    </row>
    <row r="48" customFormat="false" ht="15" hidden="false" customHeight="false" outlineLevel="0" collapsed="false">
      <c r="A48" s="14" t="s">
        <v>279</v>
      </c>
      <c r="B48" s="14" t="s">
        <v>414</v>
      </c>
      <c r="C48" s="36" t="s">
        <v>281</v>
      </c>
      <c r="D48" s="52" t="n">
        <v>3</v>
      </c>
      <c r="E48" s="36" t="s">
        <v>282</v>
      </c>
      <c r="F48" s="52" t="n">
        <f aca="false">D48</f>
        <v>3</v>
      </c>
      <c r="G48" s="14" t="s">
        <v>283</v>
      </c>
      <c r="I48" s="36" t="s">
        <v>215</v>
      </c>
      <c r="J48" s="53" t="n">
        <f aca="false">J53+J60+J63</f>
        <v>118.3069</v>
      </c>
    </row>
    <row r="49" customFormat="false" ht="15" hidden="false" customHeight="false" outlineLevel="0" collapsed="false">
      <c r="A49" s="14" t="s">
        <v>284</v>
      </c>
      <c r="B49" s="14" t="s">
        <v>285</v>
      </c>
      <c r="F49" s="36" t="s">
        <v>123</v>
      </c>
      <c r="G49" s="36" t="s">
        <v>286</v>
      </c>
      <c r="H49" s="36" t="s">
        <v>287</v>
      </c>
      <c r="I49" s="36" t="s">
        <v>288</v>
      </c>
      <c r="J49" s="36" t="s">
        <v>289</v>
      </c>
    </row>
    <row r="50" customFormat="false" ht="15" hidden="false" customHeight="false" outlineLevel="0" collapsed="false">
      <c r="B50" s="54" t="s">
        <v>290</v>
      </c>
    </row>
    <row r="51" customFormat="false" ht="15" hidden="false" customHeight="false" outlineLevel="0" collapsed="false">
      <c r="B51" s="1" t="s">
        <v>651</v>
      </c>
      <c r="F51" s="55" t="s">
        <v>292</v>
      </c>
      <c r="G51" s="56" t="n">
        <v>0.1</v>
      </c>
      <c r="H51" s="57" t="n">
        <f aca="false">G51*8/$D$48</f>
        <v>0.266666666666667</v>
      </c>
      <c r="I51" s="28" t="n">
        <v>34.73</v>
      </c>
      <c r="J51" s="28" t="n">
        <f aca="false">H51*I51</f>
        <v>9.26133333333333</v>
      </c>
    </row>
    <row r="52" customFormat="false" ht="15" hidden="false" customHeight="false" outlineLevel="0" collapsed="false">
      <c r="B52" s="1" t="s">
        <v>405</v>
      </c>
      <c r="F52" s="55" t="s">
        <v>292</v>
      </c>
      <c r="G52" s="56" t="n">
        <v>1</v>
      </c>
      <c r="H52" s="57" t="n">
        <f aca="false">G52*8/$D$48</f>
        <v>2.66666666666667</v>
      </c>
      <c r="I52" s="1" t="n">
        <v>28.94</v>
      </c>
      <c r="J52" s="28" t="n">
        <f aca="false">H52*I52</f>
        <v>77.1733333333333</v>
      </c>
    </row>
    <row r="53" customFormat="false" ht="15" hidden="false" customHeight="false" outlineLevel="0" collapsed="false">
      <c r="J53" s="53" t="n">
        <f aca="false">SUM(J51:J52)</f>
        <v>86.4346666666667</v>
      </c>
    </row>
    <row r="54" customFormat="false" ht="15" hidden="false" customHeight="false" outlineLevel="0" collapsed="false">
      <c r="B54" s="54" t="s">
        <v>654</v>
      </c>
      <c r="F54" s="55"/>
      <c r="G54" s="56"/>
      <c r="H54" s="57"/>
      <c r="J54" s="28"/>
    </row>
    <row r="55" customFormat="false" ht="15" hidden="false" customHeight="false" outlineLevel="0" collapsed="false">
      <c r="B55" s="1" t="s">
        <v>1074</v>
      </c>
      <c r="F55" s="55" t="s">
        <v>150</v>
      </c>
      <c r="H55" s="57" t="n">
        <v>2</v>
      </c>
      <c r="I55" s="1" t="n">
        <v>10.68</v>
      </c>
      <c r="J55" s="28" t="n">
        <f aca="false">H55*I55</f>
        <v>21.36</v>
      </c>
    </row>
    <row r="56" customFormat="false" ht="15" hidden="false" customHeight="false" outlineLevel="0" collapsed="false">
      <c r="B56" s="1" t="s">
        <v>1075</v>
      </c>
      <c r="F56" s="55" t="s">
        <v>150</v>
      </c>
      <c r="H56" s="57" t="n">
        <v>1</v>
      </c>
      <c r="I56" s="1" t="n">
        <v>2.12</v>
      </c>
      <c r="J56" s="28" t="n">
        <f aca="false">H56*I56</f>
        <v>2.12</v>
      </c>
    </row>
    <row r="57" customFormat="false" ht="15" hidden="false" customHeight="false" outlineLevel="0" collapsed="false">
      <c r="B57" s="1" t="s">
        <v>1076</v>
      </c>
      <c r="F57" s="55" t="s">
        <v>150</v>
      </c>
      <c r="H57" s="57" t="n">
        <v>2</v>
      </c>
      <c r="I57" s="1" t="n">
        <v>0.68</v>
      </c>
      <c r="J57" s="28" t="n">
        <f aca="false">H57*I57</f>
        <v>1.36</v>
      </c>
    </row>
    <row r="58" customFormat="false" ht="15" hidden="false" customHeight="false" outlineLevel="0" collapsed="false">
      <c r="B58" s="1" t="s">
        <v>1077</v>
      </c>
      <c r="F58" s="55" t="s">
        <v>150</v>
      </c>
      <c r="H58" s="57" t="n">
        <v>2</v>
      </c>
      <c r="I58" s="1" t="n">
        <v>0.51</v>
      </c>
      <c r="J58" s="28" t="n">
        <f aca="false">H58*I58</f>
        <v>1.02</v>
      </c>
    </row>
    <row r="59" customFormat="false" ht="15" hidden="false" customHeight="false" outlineLevel="0" collapsed="false">
      <c r="B59" s="1" t="s">
        <v>1085</v>
      </c>
      <c r="F59" s="55" t="s">
        <v>150</v>
      </c>
      <c r="H59" s="1" t="n">
        <v>1.05</v>
      </c>
      <c r="I59" s="1" t="n">
        <v>1.61</v>
      </c>
      <c r="J59" s="28" t="n">
        <f aca="false">H59*I59</f>
        <v>1.6905</v>
      </c>
    </row>
    <row r="60" customFormat="false" ht="15" hidden="false" customHeight="false" outlineLevel="0" collapsed="false">
      <c r="F60" s="55"/>
      <c r="H60" s="57"/>
      <c r="J60" s="53" t="n">
        <f aca="false">SUM(J55:J59)</f>
        <v>27.5505</v>
      </c>
    </row>
    <row r="61" customFormat="false" ht="15" hidden="false" customHeight="false" outlineLevel="0" collapsed="false">
      <c r="B61" s="54" t="s">
        <v>310</v>
      </c>
    </row>
    <row r="62" customFormat="false" ht="15" hidden="false" customHeight="false" outlineLevel="0" collapsed="false">
      <c r="B62" s="1" t="s">
        <v>311</v>
      </c>
      <c r="F62" s="55" t="s">
        <v>312</v>
      </c>
      <c r="H62" s="57" t="n">
        <v>5</v>
      </c>
      <c r="I62" s="28" t="n">
        <f aca="false">J53</f>
        <v>86.4346666666667</v>
      </c>
      <c r="J62" s="28" t="n">
        <f aca="false">H62%*I62</f>
        <v>4.32173333333333</v>
      </c>
    </row>
    <row r="63" customFormat="false" ht="15" hidden="false" customHeight="false" outlineLevel="0" collapsed="false">
      <c r="A63" s="60"/>
      <c r="B63" s="60"/>
      <c r="C63" s="60"/>
      <c r="D63" s="60"/>
      <c r="E63" s="60"/>
      <c r="F63" s="60"/>
      <c r="G63" s="60"/>
      <c r="H63" s="60"/>
      <c r="I63" s="80"/>
      <c r="J63" s="61" t="n">
        <f aca="false">SUM(J62)</f>
        <v>4.32173333333333</v>
      </c>
    </row>
    <row r="64" customFormat="false" ht="15" hidden="false" customHeight="false" outlineLevel="0" collapsed="false">
      <c r="I64" s="14"/>
      <c r="J64" s="53"/>
    </row>
    <row r="65" customFormat="false" ht="15" hidden="false" customHeight="false" outlineLevel="0" collapsed="false">
      <c r="A65" s="14" t="s">
        <v>278</v>
      </c>
      <c r="B65" s="14" t="str">
        <f aca="false">ELECTRICAS!A7</f>
        <v>05.01.04</v>
      </c>
      <c r="C65" s="14" t="s">
        <v>1086</v>
      </c>
      <c r="D65" s="14"/>
    </row>
    <row r="66" customFormat="false" ht="15" hidden="false" customHeight="false" outlineLevel="0" collapsed="false">
      <c r="A66" s="14" t="s">
        <v>279</v>
      </c>
      <c r="B66" s="14" t="s">
        <v>1087</v>
      </c>
      <c r="C66" s="36" t="s">
        <v>281</v>
      </c>
      <c r="D66" s="52" t="n">
        <v>1</v>
      </c>
      <c r="E66" s="36" t="s">
        <v>282</v>
      </c>
      <c r="F66" s="52" t="n">
        <f aca="false">D66</f>
        <v>1</v>
      </c>
      <c r="G66" s="14" t="s">
        <v>283</v>
      </c>
      <c r="I66" s="36" t="s">
        <v>215</v>
      </c>
      <c r="J66" s="53" t="n">
        <f aca="false">+J70</f>
        <v>7.34</v>
      </c>
    </row>
    <row r="67" customFormat="false" ht="15" hidden="false" customHeight="false" outlineLevel="0" collapsed="false">
      <c r="A67" s="14" t="s">
        <v>284</v>
      </c>
      <c r="B67" s="14" t="s">
        <v>285</v>
      </c>
      <c r="F67" s="36" t="s">
        <v>123</v>
      </c>
      <c r="G67" s="36" t="s">
        <v>286</v>
      </c>
      <c r="H67" s="36" t="s">
        <v>287</v>
      </c>
      <c r="I67" s="36" t="s">
        <v>288</v>
      </c>
      <c r="J67" s="36" t="s">
        <v>289</v>
      </c>
    </row>
    <row r="68" customFormat="false" ht="15" hidden="false" customHeight="false" outlineLevel="0" collapsed="false">
      <c r="B68" s="54" t="s">
        <v>654</v>
      </c>
    </row>
    <row r="69" customFormat="false" ht="15" hidden="false" customHeight="false" outlineLevel="0" collapsed="false">
      <c r="B69" s="1" t="s">
        <v>1086</v>
      </c>
      <c r="F69" s="55" t="s">
        <v>215</v>
      </c>
      <c r="G69" s="56"/>
      <c r="H69" s="57" t="n">
        <v>1</v>
      </c>
      <c r="I69" s="1" t="n">
        <v>7.34</v>
      </c>
      <c r="J69" s="28" t="n">
        <f aca="false">H69*I69</f>
        <v>7.34</v>
      </c>
    </row>
    <row r="70" customFormat="false" ht="15" hidden="false" customHeight="false" outlineLevel="0" collapsed="false">
      <c r="A70" s="60"/>
      <c r="B70" s="60"/>
      <c r="C70" s="60"/>
      <c r="D70" s="60"/>
      <c r="E70" s="60"/>
      <c r="F70" s="62"/>
      <c r="G70" s="63"/>
      <c r="H70" s="64"/>
      <c r="I70" s="60"/>
      <c r="J70" s="61" t="n">
        <f aca="false">SUM(J69:J69)</f>
        <v>7.34</v>
      </c>
    </row>
    <row r="73" customFormat="false" ht="15" hidden="false" customHeight="false" outlineLevel="0" collapsed="false">
      <c r="A73" s="14" t="s">
        <v>278</v>
      </c>
      <c r="B73" s="14" t="str">
        <f aca="false">ELECTRICAS!A9</f>
        <v>05.02.01</v>
      </c>
      <c r="C73" s="14" t="s">
        <v>1062</v>
      </c>
      <c r="D73" s="14"/>
    </row>
    <row r="74" customFormat="false" ht="15" hidden="false" customHeight="false" outlineLevel="0" collapsed="false">
      <c r="A74" s="14" t="s">
        <v>279</v>
      </c>
      <c r="B74" s="14" t="s">
        <v>1088</v>
      </c>
      <c r="C74" s="36" t="s">
        <v>281</v>
      </c>
      <c r="D74" s="52" t="n">
        <v>10</v>
      </c>
      <c r="E74" s="36" t="s">
        <v>282</v>
      </c>
      <c r="F74" s="52" t="n">
        <f aca="false">D74</f>
        <v>10</v>
      </c>
      <c r="G74" s="14" t="s">
        <v>283</v>
      </c>
      <c r="I74" s="36" t="s">
        <v>150</v>
      </c>
      <c r="J74" s="53" t="n">
        <f aca="false">+J79+J82+J85</f>
        <v>396.145032</v>
      </c>
    </row>
    <row r="75" customFormat="false" ht="15" hidden="false" customHeight="false" outlineLevel="0" collapsed="false">
      <c r="A75" s="14" t="s">
        <v>284</v>
      </c>
      <c r="B75" s="14" t="s">
        <v>285</v>
      </c>
      <c r="F75" s="36" t="s">
        <v>123</v>
      </c>
      <c r="G75" s="36" t="s">
        <v>286</v>
      </c>
      <c r="H75" s="36" t="s">
        <v>287</v>
      </c>
      <c r="I75" s="36" t="s">
        <v>288</v>
      </c>
      <c r="J75" s="36" t="s">
        <v>289</v>
      </c>
    </row>
    <row r="76" customFormat="false" ht="15" hidden="false" customHeight="false" outlineLevel="0" collapsed="false">
      <c r="B76" s="54" t="s">
        <v>290</v>
      </c>
      <c r="T76" s="28"/>
    </row>
    <row r="77" customFormat="false" ht="15" hidden="false" customHeight="false" outlineLevel="0" collapsed="false">
      <c r="B77" s="1" t="s">
        <v>651</v>
      </c>
      <c r="F77" s="55" t="s">
        <v>292</v>
      </c>
      <c r="G77" s="56" t="n">
        <v>0.1</v>
      </c>
      <c r="H77" s="57" t="n">
        <f aca="false">G77*8/$D$74</f>
        <v>0.08</v>
      </c>
      <c r="I77" s="28" t="n">
        <v>34.73</v>
      </c>
      <c r="J77" s="28" t="n">
        <f aca="false">H77*I77</f>
        <v>2.7784</v>
      </c>
      <c r="T77" s="28"/>
    </row>
    <row r="78" customFormat="false" ht="15" hidden="false" customHeight="false" outlineLevel="0" collapsed="false">
      <c r="B78" s="1" t="s">
        <v>405</v>
      </c>
      <c r="F78" s="55" t="s">
        <v>292</v>
      </c>
      <c r="G78" s="56" t="n">
        <v>0.5</v>
      </c>
      <c r="H78" s="57" t="n">
        <f aca="false">G78*8/$D$74</f>
        <v>0.4</v>
      </c>
      <c r="I78" s="1" t="n">
        <v>28.94</v>
      </c>
      <c r="J78" s="28" t="n">
        <f aca="false">H78*I78</f>
        <v>11.576</v>
      </c>
    </row>
    <row r="79" customFormat="false" ht="15" hidden="false" customHeight="false" outlineLevel="0" collapsed="false">
      <c r="J79" s="53" t="n">
        <f aca="false">SUM(J77:J78)</f>
        <v>14.3544</v>
      </c>
      <c r="T79" s="28"/>
    </row>
    <row r="80" customFormat="false" ht="15" hidden="false" customHeight="false" outlineLevel="0" collapsed="false">
      <c r="B80" s="54" t="s">
        <v>654</v>
      </c>
      <c r="F80" s="55"/>
      <c r="G80" s="56"/>
      <c r="H80" s="57"/>
      <c r="J80" s="28"/>
      <c r="S80" s="135"/>
    </row>
    <row r="81" customFormat="false" ht="15" hidden="false" customHeight="false" outlineLevel="0" collapsed="false">
      <c r="B81" s="1" t="s">
        <v>1089</v>
      </c>
      <c r="F81" s="55" t="s">
        <v>150</v>
      </c>
      <c r="G81" s="56"/>
      <c r="H81" s="57" t="n">
        <v>1</v>
      </c>
      <c r="I81" s="1" t="n">
        <v>381.36</v>
      </c>
      <c r="J81" s="28" t="n">
        <f aca="false">H81*I81</f>
        <v>381.36</v>
      </c>
    </row>
    <row r="82" customFormat="false" ht="15" hidden="false" customHeight="false" outlineLevel="0" collapsed="false">
      <c r="F82" s="55"/>
      <c r="J82" s="53" t="n">
        <f aca="false">SUM(J81:J81)</f>
        <v>381.36</v>
      </c>
    </row>
    <row r="83" customFormat="false" ht="15" hidden="false" customHeight="false" outlineLevel="0" collapsed="false">
      <c r="B83" s="54" t="s">
        <v>310</v>
      </c>
    </row>
    <row r="84" customFormat="false" ht="15" hidden="false" customHeight="false" outlineLevel="0" collapsed="false">
      <c r="B84" s="1" t="s">
        <v>311</v>
      </c>
      <c r="F84" s="55" t="s">
        <v>312</v>
      </c>
      <c r="H84" s="57" t="n">
        <v>3</v>
      </c>
      <c r="I84" s="28" t="n">
        <f aca="false">J79</f>
        <v>14.3544</v>
      </c>
      <c r="J84" s="28" t="n">
        <f aca="false">H84%*I84</f>
        <v>0.430632</v>
      </c>
    </row>
    <row r="85" customFormat="false" ht="15" hidden="false" customHeight="false" outlineLevel="0" collapsed="false">
      <c r="A85" s="60"/>
      <c r="B85" s="60"/>
      <c r="C85" s="60"/>
      <c r="D85" s="60"/>
      <c r="E85" s="60"/>
      <c r="F85" s="60"/>
      <c r="G85" s="60"/>
      <c r="H85" s="60"/>
      <c r="I85" s="80"/>
      <c r="J85" s="61" t="n">
        <f aca="false">SUM(J84)</f>
        <v>0.430632</v>
      </c>
    </row>
    <row r="87" customFormat="false" ht="15" hidden="false" customHeight="false" outlineLevel="0" collapsed="false">
      <c r="A87" s="14" t="s">
        <v>278</v>
      </c>
      <c r="B87" s="14" t="str">
        <f aca="false">ELECTRICAS!A10</f>
        <v>05.02.02</v>
      </c>
      <c r="C87" s="14" t="s">
        <v>1064</v>
      </c>
      <c r="D87" s="14"/>
    </row>
    <row r="88" customFormat="false" ht="15" hidden="false" customHeight="false" outlineLevel="0" collapsed="false">
      <c r="A88" s="14" t="s">
        <v>279</v>
      </c>
      <c r="B88" s="14" t="s">
        <v>1088</v>
      </c>
      <c r="C88" s="36" t="s">
        <v>281</v>
      </c>
      <c r="D88" s="52" t="n">
        <v>6</v>
      </c>
      <c r="E88" s="36" t="s">
        <v>282</v>
      </c>
      <c r="F88" s="52" t="n">
        <f aca="false">D88</f>
        <v>6</v>
      </c>
      <c r="G88" s="14" t="s">
        <v>283</v>
      </c>
      <c r="I88" s="36" t="s">
        <v>150</v>
      </c>
      <c r="J88" s="53" t="n">
        <f aca="false">+J94+J99+J103</f>
        <v>105.9636</v>
      </c>
    </row>
    <row r="89" customFormat="false" ht="15" hidden="false" customHeight="false" outlineLevel="0" collapsed="false">
      <c r="A89" s="14" t="s">
        <v>284</v>
      </c>
      <c r="B89" s="14" t="s">
        <v>285</v>
      </c>
      <c r="F89" s="36" t="s">
        <v>123</v>
      </c>
      <c r="G89" s="36" t="s">
        <v>286</v>
      </c>
      <c r="H89" s="36" t="s">
        <v>287</v>
      </c>
      <c r="I89" s="36" t="s">
        <v>288</v>
      </c>
      <c r="J89" s="36" t="s">
        <v>289</v>
      </c>
    </row>
    <row r="90" customFormat="false" ht="15" hidden="false" customHeight="false" outlineLevel="0" collapsed="false">
      <c r="B90" s="54" t="s">
        <v>290</v>
      </c>
    </row>
    <row r="91" customFormat="false" ht="15" hidden="false" customHeight="false" outlineLevel="0" collapsed="false">
      <c r="B91" s="1" t="s">
        <v>405</v>
      </c>
      <c r="F91" s="55" t="s">
        <v>292</v>
      </c>
      <c r="G91" s="56" t="n">
        <v>1.1</v>
      </c>
      <c r="H91" s="57" t="n">
        <f aca="false">G91*8/$D$88</f>
        <v>1.46666666666667</v>
      </c>
      <c r="I91" s="1" t="n">
        <v>28.94</v>
      </c>
      <c r="J91" s="28" t="n">
        <f aca="false">H91*I91</f>
        <v>42.4453333333333</v>
      </c>
      <c r="T91" s="135"/>
    </row>
    <row r="92" customFormat="false" ht="15" hidden="false" customHeight="false" outlineLevel="0" collapsed="false">
      <c r="B92" s="1" t="s">
        <v>680</v>
      </c>
      <c r="F92" s="55" t="s">
        <v>292</v>
      </c>
      <c r="G92" s="56" t="n">
        <v>1</v>
      </c>
      <c r="H92" s="57" t="n">
        <f aca="false">G92*8/$D$88</f>
        <v>1.33333333333333</v>
      </c>
      <c r="I92" s="1" t="n">
        <v>22.66</v>
      </c>
      <c r="J92" s="28" t="n">
        <f aca="false">H92*I92</f>
        <v>30.2133333333333</v>
      </c>
    </row>
    <row r="93" customFormat="false" ht="15" hidden="false" customHeight="false" outlineLevel="0" collapsed="false">
      <c r="B93" s="1" t="s">
        <v>294</v>
      </c>
      <c r="F93" s="55" t="s">
        <v>292</v>
      </c>
      <c r="G93" s="56" t="n">
        <v>1</v>
      </c>
      <c r="H93" s="57" t="n">
        <f aca="false">G93*8/$D$88</f>
        <v>1.33333333333333</v>
      </c>
      <c r="I93" s="1" t="n">
        <v>20.51</v>
      </c>
      <c r="J93" s="28" t="n">
        <f aca="false">H93*I93</f>
        <v>27.3466666666667</v>
      </c>
    </row>
    <row r="94" customFormat="false" ht="15" hidden="false" customHeight="false" outlineLevel="0" collapsed="false">
      <c r="J94" s="53" t="n">
        <f aca="false">SUM(J91:J93)</f>
        <v>100.005333333333</v>
      </c>
    </row>
    <row r="95" customFormat="false" ht="15" hidden="false" customHeight="false" outlineLevel="0" collapsed="false">
      <c r="B95" s="54" t="s">
        <v>654</v>
      </c>
      <c r="F95" s="55"/>
      <c r="G95" s="56"/>
      <c r="H95" s="57"/>
      <c r="J95" s="28"/>
    </row>
    <row r="96" customFormat="false" ht="15" hidden="false" customHeight="false" outlineLevel="0" collapsed="false">
      <c r="B96" s="1" t="s">
        <v>678</v>
      </c>
      <c r="F96" s="55" t="s">
        <v>373</v>
      </c>
      <c r="G96" s="56"/>
      <c r="H96" s="57" t="n">
        <v>0.05</v>
      </c>
      <c r="I96" s="1" t="n">
        <v>2.64</v>
      </c>
      <c r="J96" s="28" t="n">
        <f aca="false">H96*I96</f>
        <v>0.132</v>
      </c>
      <c r="M96" s="14"/>
      <c r="N96" s="14"/>
    </row>
    <row r="97" customFormat="false" ht="15" hidden="false" customHeight="false" outlineLevel="0" collapsed="false">
      <c r="B97" s="1" t="s">
        <v>1090</v>
      </c>
      <c r="F97" s="55" t="s">
        <v>373</v>
      </c>
      <c r="G97" s="56"/>
      <c r="H97" s="57" t="n">
        <v>0.1</v>
      </c>
      <c r="I97" s="1" t="n">
        <v>5.08</v>
      </c>
      <c r="J97" s="28" t="n">
        <f aca="false">H97*I97</f>
        <v>0.508</v>
      </c>
      <c r="N97" s="14"/>
    </row>
    <row r="98" customFormat="false" ht="15" hidden="false" customHeight="false" outlineLevel="0" collapsed="false">
      <c r="B98" s="1" t="s">
        <v>1091</v>
      </c>
      <c r="F98" s="55" t="s">
        <v>308</v>
      </c>
      <c r="H98" s="1" t="n">
        <v>0.01</v>
      </c>
      <c r="I98" s="1" t="n">
        <v>45</v>
      </c>
      <c r="J98" s="28" t="n">
        <f aca="false">H98*I98</f>
        <v>0.45</v>
      </c>
      <c r="N98" s="14"/>
    </row>
    <row r="99" customFormat="false" ht="15" hidden="false" customHeight="false" outlineLevel="0" collapsed="false">
      <c r="F99" s="55"/>
      <c r="J99" s="53" t="n">
        <f aca="false">SUM(J97:J98)</f>
        <v>0.958</v>
      </c>
      <c r="N99" s="14"/>
    </row>
    <row r="100" customFormat="false" ht="15" hidden="false" customHeight="false" outlineLevel="0" collapsed="false">
      <c r="B100" s="54" t="s">
        <v>310</v>
      </c>
      <c r="M100" s="14"/>
      <c r="N100" s="14"/>
    </row>
    <row r="101" customFormat="false" ht="15" hidden="false" customHeight="false" outlineLevel="0" collapsed="false">
      <c r="B101" s="1" t="s">
        <v>311</v>
      </c>
      <c r="F101" s="55" t="s">
        <v>312</v>
      </c>
      <c r="H101" s="57" t="n">
        <v>5</v>
      </c>
      <c r="I101" s="28" t="n">
        <f aca="false">J94</f>
        <v>100.005333333333</v>
      </c>
      <c r="J101" s="28" t="n">
        <f aca="false">H101%*I101</f>
        <v>5.00026666666667</v>
      </c>
      <c r="N101" s="14"/>
    </row>
    <row r="102" customFormat="false" ht="15" hidden="false" customHeight="false" outlineLevel="0" collapsed="false">
      <c r="B102" s="1" t="s">
        <v>1092</v>
      </c>
      <c r="F102" s="55" t="s">
        <v>338</v>
      </c>
      <c r="G102" s="56" t="n">
        <v>0.5</v>
      </c>
      <c r="H102" s="57" t="n">
        <f aca="false">G102*8/$D$88</f>
        <v>0.666666666666667</v>
      </c>
      <c r="I102" s="1" t="n">
        <v>28.94</v>
      </c>
      <c r="J102" s="28" t="n">
        <f aca="false">H102*I102</f>
        <v>19.2933333333333</v>
      </c>
      <c r="N102" s="14"/>
    </row>
    <row r="103" customFormat="false" ht="15" hidden="false" customHeight="false" outlineLevel="0" collapsed="false">
      <c r="A103" s="60"/>
      <c r="B103" s="60"/>
      <c r="C103" s="60"/>
      <c r="D103" s="60"/>
      <c r="E103" s="60"/>
      <c r="F103" s="60"/>
      <c r="G103" s="60"/>
      <c r="H103" s="60"/>
      <c r="I103" s="80"/>
      <c r="J103" s="61" t="n">
        <f aca="false">SUM(J101)</f>
        <v>5.00026666666667</v>
      </c>
      <c r="N103" s="14"/>
    </row>
    <row r="104" customFormat="false" ht="15" hidden="false" customHeight="false" outlineLevel="0" collapsed="false">
      <c r="I104" s="14"/>
      <c r="J104" s="53"/>
    </row>
    <row r="105" customFormat="false" ht="15" hidden="false" customHeight="false" outlineLevel="0" collapsed="false">
      <c r="A105" s="14" t="s">
        <v>278</v>
      </c>
      <c r="B105" s="14" t="str">
        <f aca="false">ELECTRICAS!A11</f>
        <v>05.02.03</v>
      </c>
      <c r="C105" s="14" t="s">
        <v>1093</v>
      </c>
      <c r="D105" s="14"/>
    </row>
    <row r="106" customFormat="false" ht="15" hidden="false" customHeight="false" outlineLevel="0" collapsed="false">
      <c r="A106" s="14" t="s">
        <v>279</v>
      </c>
      <c r="B106" s="14" t="s">
        <v>414</v>
      </c>
      <c r="C106" s="36" t="s">
        <v>281</v>
      </c>
      <c r="D106" s="52" t="n">
        <v>1</v>
      </c>
      <c r="E106" s="36" t="s">
        <v>282</v>
      </c>
      <c r="F106" s="52" t="n">
        <f aca="false">D106</f>
        <v>1</v>
      </c>
      <c r="G106" s="14" t="s">
        <v>283</v>
      </c>
      <c r="I106" s="36" t="s">
        <v>215</v>
      </c>
      <c r="J106" s="53" t="n">
        <f aca="false">+J110</f>
        <v>143.11</v>
      </c>
    </row>
    <row r="107" customFormat="false" ht="15" hidden="false" customHeight="false" outlineLevel="0" collapsed="false">
      <c r="A107" s="14" t="s">
        <v>284</v>
      </c>
      <c r="B107" s="14" t="s">
        <v>285</v>
      </c>
      <c r="F107" s="36" t="s">
        <v>123</v>
      </c>
      <c r="G107" s="36" t="s">
        <v>286</v>
      </c>
      <c r="H107" s="36" t="s">
        <v>287</v>
      </c>
      <c r="I107" s="36" t="s">
        <v>288</v>
      </c>
      <c r="J107" s="36" t="s">
        <v>289</v>
      </c>
    </row>
    <row r="108" customFormat="false" ht="15" hidden="false" customHeight="false" outlineLevel="0" collapsed="false">
      <c r="B108" s="54" t="s">
        <v>654</v>
      </c>
    </row>
    <row r="109" customFormat="false" ht="15" hidden="false" customHeight="false" outlineLevel="0" collapsed="false">
      <c r="B109" s="1" t="s">
        <v>1094</v>
      </c>
      <c r="F109" s="55" t="s">
        <v>215</v>
      </c>
      <c r="G109" s="56"/>
      <c r="H109" s="57" t="n">
        <v>1</v>
      </c>
      <c r="I109" s="1" t="n">
        <v>143.11</v>
      </c>
      <c r="J109" s="28" t="n">
        <f aca="false">H109*I109</f>
        <v>143.11</v>
      </c>
    </row>
    <row r="110" customFormat="false" ht="15" hidden="false" customHeight="false" outlineLevel="0" collapsed="false">
      <c r="A110" s="60"/>
      <c r="B110" s="60"/>
      <c r="C110" s="60"/>
      <c r="D110" s="60"/>
      <c r="E110" s="60"/>
      <c r="F110" s="62"/>
      <c r="G110" s="63"/>
      <c r="H110" s="64"/>
      <c r="I110" s="60"/>
      <c r="J110" s="61" t="n">
        <f aca="false">SUM(J109:J109)</f>
        <v>143.11</v>
      </c>
    </row>
    <row r="111" customFormat="false" ht="15" hidden="false" customHeight="false" outlineLevel="0" collapsed="false">
      <c r="I111" s="14"/>
      <c r="J111" s="53"/>
    </row>
    <row r="112" customFormat="false" ht="15" hidden="false" customHeight="false" outlineLevel="0" collapsed="false">
      <c r="I112" s="14"/>
      <c r="J112" s="53"/>
    </row>
    <row r="113" customFormat="false" ht="15" hidden="false" customHeight="false" outlineLevel="0" collapsed="false">
      <c r="A113" s="14" t="s">
        <v>278</v>
      </c>
      <c r="B113" s="14" t="str">
        <f aca="false">ELECTRICAS!A12</f>
        <v>05.02.04</v>
      </c>
      <c r="C113" s="14" t="s">
        <v>1095</v>
      </c>
      <c r="D113" s="14"/>
    </row>
    <row r="114" customFormat="false" ht="15" hidden="false" customHeight="false" outlineLevel="0" collapsed="false">
      <c r="A114" s="14" t="s">
        <v>279</v>
      </c>
      <c r="B114" s="14" t="s">
        <v>326</v>
      </c>
      <c r="C114" s="36" t="s">
        <v>281</v>
      </c>
      <c r="D114" s="52" t="n">
        <v>5</v>
      </c>
      <c r="E114" s="36" t="s">
        <v>282</v>
      </c>
      <c r="F114" s="52" t="n">
        <f aca="false">D114</f>
        <v>5</v>
      </c>
      <c r="G114" s="14" t="s">
        <v>283</v>
      </c>
      <c r="I114" s="36" t="s">
        <v>150</v>
      </c>
      <c r="J114" s="53" t="n">
        <f aca="false">+J119+J127+J130</f>
        <v>86.81614</v>
      </c>
    </row>
    <row r="115" customFormat="false" ht="15" hidden="false" customHeight="false" outlineLevel="0" collapsed="false">
      <c r="A115" s="14" t="s">
        <v>284</v>
      </c>
      <c r="B115" s="14" t="s">
        <v>285</v>
      </c>
      <c r="F115" s="36" t="s">
        <v>123</v>
      </c>
      <c r="G115" s="36" t="s">
        <v>286</v>
      </c>
      <c r="H115" s="36" t="s">
        <v>287</v>
      </c>
      <c r="I115" s="36" t="s">
        <v>288</v>
      </c>
      <c r="J115" s="36" t="s">
        <v>289</v>
      </c>
    </row>
    <row r="116" customFormat="false" ht="15" hidden="false" customHeight="false" outlineLevel="0" collapsed="false">
      <c r="B116" s="54" t="s">
        <v>290</v>
      </c>
    </row>
    <row r="117" customFormat="false" ht="15" hidden="false" customHeight="false" outlineLevel="0" collapsed="false">
      <c r="B117" s="1" t="s">
        <v>405</v>
      </c>
      <c r="F117" s="55" t="s">
        <v>292</v>
      </c>
      <c r="G117" s="56" t="n">
        <v>1.1</v>
      </c>
      <c r="H117" s="57" t="n">
        <f aca="false">G117*8/$D$114</f>
        <v>1.76</v>
      </c>
      <c r="I117" s="1" t="n">
        <v>28.94</v>
      </c>
      <c r="J117" s="28" t="n">
        <f aca="false">H117*I117</f>
        <v>50.9344</v>
      </c>
    </row>
    <row r="118" customFormat="false" ht="15" hidden="false" customHeight="false" outlineLevel="0" collapsed="false">
      <c r="B118" s="1" t="s">
        <v>294</v>
      </c>
      <c r="F118" s="55" t="s">
        <v>292</v>
      </c>
      <c r="G118" s="56" t="n">
        <v>0.5</v>
      </c>
      <c r="H118" s="57" t="n">
        <f aca="false">G118*8/$D$114</f>
        <v>0.8</v>
      </c>
      <c r="I118" s="1" t="n">
        <v>20.51</v>
      </c>
      <c r="J118" s="28" t="n">
        <f aca="false">H118*I118</f>
        <v>16.408</v>
      </c>
    </row>
    <row r="119" customFormat="false" ht="15" hidden="false" customHeight="false" outlineLevel="0" collapsed="false">
      <c r="J119" s="53" t="n">
        <f aca="false">SUM(J117:J118)</f>
        <v>67.3424</v>
      </c>
    </row>
    <row r="120" customFormat="false" ht="15" hidden="false" customHeight="false" outlineLevel="0" collapsed="false">
      <c r="B120" s="54" t="s">
        <v>654</v>
      </c>
      <c r="F120" s="55"/>
      <c r="G120" s="56"/>
      <c r="H120" s="57"/>
      <c r="J120" s="28"/>
    </row>
    <row r="121" customFormat="false" ht="15" hidden="false" customHeight="false" outlineLevel="0" collapsed="false">
      <c r="B121" s="1" t="s">
        <v>1096</v>
      </c>
      <c r="F121" s="55" t="s">
        <v>331</v>
      </c>
      <c r="G121" s="56"/>
      <c r="H121" s="57" t="n">
        <v>1</v>
      </c>
      <c r="I121" s="1" t="n">
        <v>5</v>
      </c>
      <c r="J121" s="28" t="n">
        <f aca="false">H121*I121</f>
        <v>5</v>
      </c>
    </row>
    <row r="122" customFormat="false" ht="15" hidden="false" customHeight="false" outlineLevel="0" collapsed="false">
      <c r="B122" s="1" t="s">
        <v>1078</v>
      </c>
      <c r="F122" s="55" t="s">
        <v>150</v>
      </c>
      <c r="H122" s="57" t="n">
        <v>0.15</v>
      </c>
      <c r="I122" s="1" t="n">
        <v>4.66</v>
      </c>
      <c r="J122" s="28" t="n">
        <f aca="false">H122*I122</f>
        <v>0.699</v>
      </c>
    </row>
    <row r="123" customFormat="false" ht="15" hidden="false" customHeight="false" outlineLevel="0" collapsed="false">
      <c r="B123" s="1" t="s">
        <v>1022</v>
      </c>
      <c r="F123" s="55" t="s">
        <v>440</v>
      </c>
      <c r="H123" s="57" t="n">
        <v>0.007</v>
      </c>
      <c r="I123" s="1" t="n">
        <v>189.66</v>
      </c>
      <c r="J123" s="28" t="n">
        <f aca="false">H123*I123</f>
        <v>1.32762</v>
      </c>
    </row>
    <row r="124" customFormat="false" ht="15" hidden="false" customHeight="false" outlineLevel="0" collapsed="false">
      <c r="B124" s="1" t="s">
        <v>1097</v>
      </c>
      <c r="F124" s="55" t="s">
        <v>145</v>
      </c>
      <c r="G124" s="56"/>
      <c r="H124" s="57" t="n">
        <v>2.5</v>
      </c>
      <c r="I124" s="1" t="n">
        <v>2.74</v>
      </c>
      <c r="J124" s="28" t="n">
        <f aca="false">H124*I124</f>
        <v>6.85</v>
      </c>
    </row>
    <row r="125" customFormat="false" ht="15" hidden="false" customHeight="false" outlineLevel="0" collapsed="false">
      <c r="B125" s="1" t="s">
        <v>1098</v>
      </c>
      <c r="F125" s="55" t="s">
        <v>331</v>
      </c>
      <c r="G125" s="56"/>
      <c r="H125" s="57" t="n">
        <v>1</v>
      </c>
      <c r="I125" s="1" t="n">
        <v>1.69</v>
      </c>
      <c r="J125" s="28" t="n">
        <f aca="false">H125*I125</f>
        <v>1.69</v>
      </c>
    </row>
    <row r="126" customFormat="false" ht="15" hidden="false" customHeight="false" outlineLevel="0" collapsed="false">
      <c r="B126" s="1" t="s">
        <v>1099</v>
      </c>
      <c r="F126" s="55" t="s">
        <v>331</v>
      </c>
      <c r="G126" s="56"/>
      <c r="H126" s="57" t="n">
        <v>1</v>
      </c>
      <c r="I126" s="1" t="n">
        <v>0.54</v>
      </c>
      <c r="J126" s="28" t="n">
        <f aca="false">H126*I126</f>
        <v>0.54</v>
      </c>
    </row>
    <row r="127" customFormat="false" ht="15" hidden="false" customHeight="false" outlineLevel="0" collapsed="false">
      <c r="F127" s="55"/>
      <c r="J127" s="53" t="n">
        <f aca="false">SUM(J121:J126)</f>
        <v>16.10662</v>
      </c>
    </row>
    <row r="128" customFormat="false" ht="15" hidden="false" customHeight="false" outlineLevel="0" collapsed="false">
      <c r="B128" s="54" t="s">
        <v>310</v>
      </c>
    </row>
    <row r="129" customFormat="false" ht="15" hidden="false" customHeight="false" outlineLevel="0" collapsed="false">
      <c r="B129" s="1" t="s">
        <v>311</v>
      </c>
      <c r="F129" s="55" t="s">
        <v>312</v>
      </c>
      <c r="H129" s="57" t="n">
        <v>5</v>
      </c>
      <c r="I129" s="28" t="n">
        <f aca="false">J119</f>
        <v>67.3424</v>
      </c>
      <c r="J129" s="28" t="n">
        <f aca="false">H129%*I129</f>
        <v>3.36712</v>
      </c>
    </row>
    <row r="130" customFormat="false" ht="15" hidden="false" customHeight="false" outlineLevel="0" collapsed="false">
      <c r="A130" s="60"/>
      <c r="B130" s="60"/>
      <c r="C130" s="60"/>
      <c r="D130" s="60"/>
      <c r="E130" s="60"/>
      <c r="F130" s="60"/>
      <c r="G130" s="60"/>
      <c r="H130" s="60"/>
      <c r="I130" s="80"/>
      <c r="J130" s="61" t="n">
        <f aca="false">SUM(J129)</f>
        <v>3.36712</v>
      </c>
    </row>
    <row r="132" customFormat="false" ht="15" hidden="false" customHeight="false" outlineLevel="0" collapsed="false">
      <c r="A132" s="14" t="s">
        <v>278</v>
      </c>
      <c r="B132" s="14" t="str">
        <f aca="false">ELECTRICAS!A13</f>
        <v>05.02.05</v>
      </c>
      <c r="C132" s="14" t="s">
        <v>1070</v>
      </c>
      <c r="D132" s="14"/>
    </row>
    <row r="133" customFormat="false" ht="15" hidden="false" customHeight="false" outlineLevel="0" collapsed="false">
      <c r="A133" s="14" t="s">
        <v>279</v>
      </c>
      <c r="B133" s="14" t="s">
        <v>332</v>
      </c>
      <c r="C133" s="36" t="s">
        <v>281</v>
      </c>
      <c r="D133" s="52" t="n">
        <v>1</v>
      </c>
      <c r="E133" s="36" t="s">
        <v>282</v>
      </c>
      <c r="F133" s="52" t="n">
        <f aca="false">D133</f>
        <v>1</v>
      </c>
      <c r="G133" s="14" t="s">
        <v>283</v>
      </c>
      <c r="I133" s="36" t="s">
        <v>155</v>
      </c>
      <c r="J133" s="53" t="n">
        <f aca="false">+J137</f>
        <v>87.34</v>
      </c>
    </row>
    <row r="134" customFormat="false" ht="15" hidden="false" customHeight="false" outlineLevel="0" collapsed="false">
      <c r="A134" s="14" t="s">
        <v>284</v>
      </c>
      <c r="B134" s="14" t="s">
        <v>285</v>
      </c>
      <c r="F134" s="36" t="s">
        <v>123</v>
      </c>
      <c r="G134" s="36" t="s">
        <v>286</v>
      </c>
      <c r="H134" s="36" t="s">
        <v>287</v>
      </c>
      <c r="I134" s="36" t="s">
        <v>288</v>
      </c>
      <c r="J134" s="36" t="s">
        <v>289</v>
      </c>
    </row>
    <row r="135" customFormat="false" ht="15" hidden="false" customHeight="false" outlineLevel="0" collapsed="false">
      <c r="B135" s="54" t="s">
        <v>654</v>
      </c>
      <c r="N135" s="14"/>
    </row>
    <row r="136" customFormat="false" ht="15" hidden="false" customHeight="false" outlineLevel="0" collapsed="false">
      <c r="B136" s="1" t="s">
        <v>1070</v>
      </c>
      <c r="F136" s="55" t="s">
        <v>155</v>
      </c>
      <c r="G136" s="56"/>
      <c r="H136" s="57" t="n">
        <v>1</v>
      </c>
      <c r="I136" s="1" t="n">
        <v>87.34</v>
      </c>
      <c r="J136" s="28" t="n">
        <f aca="false">H136*I136</f>
        <v>87.34</v>
      </c>
      <c r="N136" s="14"/>
    </row>
    <row r="137" customFormat="false" ht="15" hidden="false" customHeight="false" outlineLevel="0" collapsed="false">
      <c r="A137" s="60"/>
      <c r="B137" s="60"/>
      <c r="C137" s="60"/>
      <c r="D137" s="60"/>
      <c r="E137" s="60"/>
      <c r="F137" s="62"/>
      <c r="G137" s="63"/>
      <c r="H137" s="64"/>
      <c r="I137" s="60"/>
      <c r="J137" s="61" t="n">
        <f aca="false">SUM(J136:J136)</f>
        <v>87.34</v>
      </c>
      <c r="N137" s="14"/>
    </row>
    <row r="138" customFormat="false" ht="15" hidden="false" customHeight="false" outlineLevel="0" collapsed="false">
      <c r="M138" s="14"/>
      <c r="N138" s="14"/>
    </row>
    <row r="139" customFormat="false" ht="15" hidden="false" customHeight="false" outlineLevel="0" collapsed="false">
      <c r="A139" s="14" t="s">
        <v>278</v>
      </c>
      <c r="B139" s="14" t="str">
        <f aca="false">ELECTRICAS!A14</f>
        <v>05.02.06</v>
      </c>
      <c r="C139" s="14" t="s">
        <v>1072</v>
      </c>
      <c r="D139" s="14"/>
      <c r="M139" s="14"/>
      <c r="N139" s="14"/>
    </row>
    <row r="140" customFormat="false" ht="15" hidden="false" customHeight="false" outlineLevel="0" collapsed="false">
      <c r="A140" s="14" t="s">
        <v>279</v>
      </c>
      <c r="B140" s="14" t="s">
        <v>332</v>
      </c>
      <c r="C140" s="36" t="s">
        <v>281</v>
      </c>
      <c r="D140" s="52" t="n">
        <v>1</v>
      </c>
      <c r="E140" s="36" t="s">
        <v>282</v>
      </c>
      <c r="F140" s="52" t="n">
        <f aca="false">D140</f>
        <v>1</v>
      </c>
      <c r="G140" s="14" t="s">
        <v>283</v>
      </c>
      <c r="I140" s="36" t="s">
        <v>155</v>
      </c>
      <c r="J140" s="53" t="n">
        <f aca="false">+J144</f>
        <v>7.34</v>
      </c>
      <c r="M140" s="14"/>
      <c r="N140" s="14"/>
    </row>
    <row r="141" customFormat="false" ht="15" hidden="false" customHeight="false" outlineLevel="0" collapsed="false">
      <c r="A141" s="14" t="s">
        <v>284</v>
      </c>
      <c r="B141" s="14" t="s">
        <v>285</v>
      </c>
      <c r="F141" s="36" t="s">
        <v>123</v>
      </c>
      <c r="G141" s="36" t="s">
        <v>286</v>
      </c>
      <c r="H141" s="36" t="s">
        <v>287</v>
      </c>
      <c r="I141" s="36" t="s">
        <v>288</v>
      </c>
      <c r="J141" s="36" t="s">
        <v>289</v>
      </c>
      <c r="M141" s="14"/>
      <c r="N141" s="14"/>
    </row>
    <row r="142" customFormat="false" ht="15" hidden="false" customHeight="false" outlineLevel="0" collapsed="false">
      <c r="B142" s="54" t="s">
        <v>654</v>
      </c>
      <c r="M142" s="14"/>
      <c r="N142" s="14"/>
    </row>
    <row r="143" customFormat="false" ht="15" hidden="false" customHeight="false" outlineLevel="0" collapsed="false">
      <c r="B143" s="1" t="s">
        <v>1072</v>
      </c>
      <c r="F143" s="55" t="s">
        <v>155</v>
      </c>
      <c r="G143" s="56"/>
      <c r="H143" s="57" t="n">
        <v>1</v>
      </c>
      <c r="I143" s="1" t="n">
        <v>7.34</v>
      </c>
      <c r="J143" s="28" t="n">
        <f aca="false">H143*I143</f>
        <v>7.34</v>
      </c>
      <c r="M143" s="14"/>
      <c r="N143" s="14"/>
    </row>
    <row r="144" customFormat="false" ht="15" hidden="false" customHeight="false" outlineLevel="0" collapsed="false">
      <c r="A144" s="60"/>
      <c r="B144" s="60"/>
      <c r="C144" s="60"/>
      <c r="D144" s="60"/>
      <c r="E144" s="60"/>
      <c r="F144" s="62"/>
      <c r="G144" s="63"/>
      <c r="H144" s="64"/>
      <c r="I144" s="60"/>
      <c r="J144" s="61" t="n">
        <f aca="false">SUM(J143:J143)</f>
        <v>7.34</v>
      </c>
    </row>
    <row r="146" customFormat="false" ht="15" hidden="false" customHeight="false" outlineLevel="0" collapsed="false">
      <c r="J146" s="5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" activeCellId="0" sqref="K2"/>
    </sheetView>
  </sheetViews>
  <sheetFormatPr defaultColWidth="8.59765625" defaultRowHeight="15" zeroHeight="false" outlineLevelRow="0" outlineLevelCol="0"/>
  <cols>
    <col collapsed="false" customWidth="true" hidden="false" outlineLevel="0" max="10" min="10" style="1" width="13.71"/>
    <col collapsed="false" customWidth="true" hidden="false" outlineLevel="0" max="11" min="11" style="1" width="13.57"/>
    <col collapsed="false" customWidth="true" hidden="false" outlineLevel="0" max="14" min="14" style="1" width="9.86"/>
  </cols>
  <sheetData>
    <row r="1" customFormat="false" ht="15" hidden="false" customHeight="false" outlineLevel="0" collapsed="false">
      <c r="G1" s="36" t="s">
        <v>123</v>
      </c>
      <c r="H1" s="36" t="s">
        <v>124</v>
      </c>
      <c r="I1" s="36" t="s">
        <v>125</v>
      </c>
      <c r="J1" s="36" t="s">
        <v>454</v>
      </c>
      <c r="K1" s="36" t="s">
        <v>455</v>
      </c>
    </row>
    <row r="2" customFormat="false" ht="15" hidden="false" customHeight="false" outlineLevel="0" collapsed="false">
      <c r="A2" s="14" t="n">
        <v>6</v>
      </c>
      <c r="B2" s="66" t="s">
        <v>1100</v>
      </c>
      <c r="J2" s="6"/>
      <c r="K2" s="67" t="n">
        <f aca="false">J3+J15+J31+J35+J38</f>
        <v>107816.632126667</v>
      </c>
      <c r="O2" s="14"/>
      <c r="P2" s="14"/>
    </row>
    <row r="3" customFormat="false" ht="15" hidden="false" customHeight="false" outlineLevel="0" collapsed="false">
      <c r="A3" s="14" t="n">
        <v>6.01</v>
      </c>
      <c r="B3" s="13" t="s">
        <v>1101</v>
      </c>
      <c r="J3" s="40" t="n">
        <f aca="false">SUM(J4:J14)</f>
        <v>24288.60224</v>
      </c>
      <c r="P3" s="14"/>
    </row>
    <row r="4" customFormat="false" ht="15" hidden="false" customHeight="false" outlineLevel="0" collapsed="false">
      <c r="A4" s="1" t="s">
        <v>1102</v>
      </c>
      <c r="B4" s="1" t="s">
        <v>1103</v>
      </c>
      <c r="G4" s="6" t="s">
        <v>150</v>
      </c>
      <c r="H4" s="28" t="n">
        <f aca="false">ROUNDUP(SUM(BIBLIOTECA:INGRESO!G72:G72),0)</f>
        <v>21</v>
      </c>
      <c r="I4" s="152" t="n">
        <f aca="false">'APUS COMUNICACIONES'!J5</f>
        <v>279.8531</v>
      </c>
      <c r="J4" s="9" t="n">
        <f aca="false">H4*I4</f>
        <v>5876.9151</v>
      </c>
      <c r="L4" s="136"/>
      <c r="P4" s="14"/>
    </row>
    <row r="5" customFormat="false" ht="15" hidden="false" customHeight="false" outlineLevel="0" collapsed="false">
      <c r="A5" s="1" t="s">
        <v>1104</v>
      </c>
      <c r="B5" s="1" t="s">
        <v>1105</v>
      </c>
      <c r="G5" s="6" t="s">
        <v>150</v>
      </c>
      <c r="H5" s="28" t="n">
        <f aca="false">ROUNDUP(SUM(BIBLIOTECA:INGRESO!G73:G73),0)</f>
        <v>11</v>
      </c>
      <c r="I5" s="152" t="n">
        <f aca="false">'APUS COMUNICACIONES'!J23</f>
        <v>95.8431</v>
      </c>
      <c r="J5" s="9" t="n">
        <f aca="false">H5*I5</f>
        <v>1054.2741</v>
      </c>
      <c r="L5" s="136"/>
    </row>
    <row r="6" customFormat="false" ht="15" hidden="false" customHeight="false" outlineLevel="0" collapsed="false">
      <c r="A6" s="1" t="s">
        <v>1106</v>
      </c>
      <c r="B6" s="1" t="s">
        <v>1107</v>
      </c>
      <c r="G6" s="6" t="s">
        <v>150</v>
      </c>
      <c r="H6" s="28" t="n">
        <f aca="false">ROUNDUP(SUM(BIBLIOTECA:INGRESO!G74:G74),0)</f>
        <v>19</v>
      </c>
      <c r="I6" s="28" t="n">
        <f aca="false">'APUS COMUNICACIONES'!J41</f>
        <v>95.8431</v>
      </c>
      <c r="J6" s="9" t="n">
        <f aca="false">H6*I6</f>
        <v>1821.0189</v>
      </c>
      <c r="K6" s="152"/>
      <c r="L6" s="136"/>
    </row>
    <row r="7" customFormat="false" ht="15" hidden="false" customHeight="false" outlineLevel="0" collapsed="false">
      <c r="A7" s="1" t="s">
        <v>1108</v>
      </c>
      <c r="B7" s="1" t="s">
        <v>1109</v>
      </c>
      <c r="G7" s="6" t="s">
        <v>145</v>
      </c>
      <c r="H7" s="28" t="n">
        <f aca="false">ROUNDUP(SUM(BIBLIOTECA:INGRESO!G75:G75),0)</f>
        <v>6</v>
      </c>
      <c r="I7" s="28" t="n">
        <f aca="false">'APUS COMUNICACIONES'!J59</f>
        <v>26.403334</v>
      </c>
      <c r="J7" s="9" t="n">
        <f aca="false">H7*I7</f>
        <v>158.420004</v>
      </c>
      <c r="K7" s="152"/>
      <c r="L7" s="136"/>
    </row>
    <row r="8" customFormat="false" ht="15" hidden="false" customHeight="false" outlineLevel="0" collapsed="false">
      <c r="A8" s="1" t="s">
        <v>1110</v>
      </c>
      <c r="B8" s="1" t="s">
        <v>1111</v>
      </c>
      <c r="G8" s="6" t="s">
        <v>145</v>
      </c>
      <c r="H8" s="28" t="n">
        <f aca="false">ROUNDUP(SUM(BIBLIOTECA:INGRESO!G76:G76),0)</f>
        <v>108</v>
      </c>
      <c r="I8" s="28" t="n">
        <f aca="false">'APUS COMUNICACIONES'!J77</f>
        <v>25.004334</v>
      </c>
      <c r="J8" s="9" t="n">
        <f aca="false">H8*I8</f>
        <v>2700.468072</v>
      </c>
      <c r="K8" s="152"/>
      <c r="L8" s="136"/>
    </row>
    <row r="9" customFormat="false" ht="15" hidden="false" customHeight="false" outlineLevel="0" collapsed="false">
      <c r="A9" s="1" t="s">
        <v>1112</v>
      </c>
      <c r="B9" s="1" t="s">
        <v>1113</v>
      </c>
      <c r="G9" s="6" t="s">
        <v>145</v>
      </c>
      <c r="H9" s="28" t="n">
        <f aca="false">ROUNDUP(SUM(BIBLIOTECA:INGRESO!G77:G77),0)</f>
        <v>436</v>
      </c>
      <c r="I9" s="28" t="n">
        <f aca="false">'APUS COMUNICACIONES'!J95</f>
        <v>19.232788</v>
      </c>
      <c r="J9" s="9" t="n">
        <f aca="false">H9*I9</f>
        <v>8385.495568</v>
      </c>
      <c r="K9" s="152"/>
      <c r="L9" s="136"/>
    </row>
    <row r="10" customFormat="false" ht="15" hidden="false" customHeight="false" outlineLevel="0" collapsed="false">
      <c r="A10" s="1" t="s">
        <v>1114</v>
      </c>
      <c r="B10" s="1" t="s">
        <v>1115</v>
      </c>
      <c r="G10" s="6" t="s">
        <v>145</v>
      </c>
      <c r="H10" s="28" t="n">
        <f aca="false">ROUNDUP(SUM(BIBLIOTECA:INGRESO!G78:G78),0)</f>
        <v>3</v>
      </c>
      <c r="I10" s="28" t="n">
        <f aca="false">'APUS COMUNICACIONES'!J113</f>
        <v>16.371788</v>
      </c>
      <c r="J10" s="9" t="n">
        <f aca="false">H10*I10</f>
        <v>49.115364</v>
      </c>
      <c r="K10" s="152"/>
      <c r="L10" s="136"/>
    </row>
    <row r="11" customFormat="false" ht="15" hidden="false" customHeight="false" outlineLevel="0" collapsed="false">
      <c r="A11" s="1" t="s">
        <v>1116</v>
      </c>
      <c r="B11" s="1" t="s">
        <v>1117</v>
      </c>
      <c r="G11" s="6" t="s">
        <v>150</v>
      </c>
      <c r="H11" s="28" t="n">
        <f aca="false">ROUNDUP(SUM(BIBLIOTECA:INGRESO!G79:G79),0)</f>
        <v>11</v>
      </c>
      <c r="I11" s="28" t="n">
        <f aca="false">'APUS COMUNICACIONES'!J131</f>
        <v>62.670152</v>
      </c>
      <c r="J11" s="9" t="n">
        <f aca="false">H11*I11</f>
        <v>689.371672</v>
      </c>
      <c r="K11" s="152"/>
      <c r="L11" s="136"/>
    </row>
    <row r="12" customFormat="false" ht="15" hidden="false" customHeight="false" outlineLevel="0" collapsed="false">
      <c r="A12" s="1" t="s">
        <v>1118</v>
      </c>
      <c r="B12" s="1" t="s">
        <v>1119</v>
      </c>
      <c r="G12" s="6" t="s">
        <v>150</v>
      </c>
      <c r="H12" s="28" t="n">
        <f aca="false">ROUNDUP(SUM(BIBLIOTECA:INGRESO!G80:G80),0)</f>
        <v>21</v>
      </c>
      <c r="I12" s="28" t="n">
        <f aca="false">'APUS COMUNICACIONES'!J146</f>
        <v>58.850152</v>
      </c>
      <c r="J12" s="9" t="n">
        <f aca="false">H12*I12</f>
        <v>1235.853192</v>
      </c>
      <c r="K12" s="152"/>
      <c r="L12" s="136"/>
    </row>
    <row r="13" customFormat="false" ht="15" hidden="false" customHeight="false" outlineLevel="0" collapsed="false">
      <c r="A13" s="1" t="s">
        <v>1120</v>
      </c>
      <c r="B13" s="1" t="s">
        <v>1121</v>
      </c>
      <c r="G13" s="6" t="s">
        <v>150</v>
      </c>
      <c r="H13" s="28" t="n">
        <f aca="false">ROUNDUP(SUM(BIBLIOTECA:INGRESO!G81:G81),0)</f>
        <v>4</v>
      </c>
      <c r="I13" s="28" t="n">
        <f aca="false">'APUS COMUNICACIONES'!J161</f>
        <v>57.880152</v>
      </c>
      <c r="J13" s="9" t="n">
        <f aca="false">H13*I13</f>
        <v>231.520608</v>
      </c>
      <c r="K13" s="152"/>
      <c r="L13" s="136"/>
    </row>
    <row r="14" customFormat="false" ht="15" hidden="false" customHeight="false" outlineLevel="0" collapsed="false">
      <c r="A14" s="1" t="s">
        <v>1122</v>
      </c>
      <c r="B14" s="1" t="s">
        <v>1123</v>
      </c>
      <c r="G14" s="6" t="s">
        <v>145</v>
      </c>
      <c r="H14" s="28" t="n">
        <f aca="false">ROUNDUP(SUM(BIBLIOTECA:INGRESO!G82:G82),0)</f>
        <v>21</v>
      </c>
      <c r="I14" s="28" t="n">
        <f aca="false">'APUS COMUNICACIONES'!J176</f>
        <v>99.34046</v>
      </c>
      <c r="J14" s="9" t="n">
        <f aca="false">H14*I14</f>
        <v>2086.14966</v>
      </c>
      <c r="K14" s="152"/>
      <c r="L14" s="136"/>
    </row>
    <row r="15" customFormat="false" ht="15" hidden="false" customHeight="false" outlineLevel="0" collapsed="false">
      <c r="A15" s="14" t="n">
        <v>6.02</v>
      </c>
      <c r="B15" s="13" t="s">
        <v>1124</v>
      </c>
      <c r="G15" s="6"/>
      <c r="H15" s="28"/>
      <c r="J15" s="40" t="n">
        <f aca="false">SUM(J16:J30)</f>
        <v>63059.3311866667</v>
      </c>
      <c r="L15" s="71"/>
    </row>
    <row r="16" customFormat="false" ht="15" hidden="false" customHeight="false" outlineLevel="0" collapsed="false">
      <c r="A16" s="1" t="s">
        <v>1125</v>
      </c>
      <c r="B16" s="1" t="s">
        <v>1126</v>
      </c>
      <c r="G16" s="6" t="s">
        <v>150</v>
      </c>
      <c r="H16" s="28" t="n">
        <v>1</v>
      </c>
      <c r="I16" s="28" t="n">
        <f aca="false">'APUS COMUNICACIONES'!J191</f>
        <v>2842.9762</v>
      </c>
      <c r="J16" s="9" t="n">
        <f aca="false">H16*I16</f>
        <v>2842.9762</v>
      </c>
      <c r="K16" s="28"/>
      <c r="L16" s="71"/>
      <c r="P16" s="14"/>
    </row>
    <row r="17" customFormat="false" ht="15" hidden="false" customHeight="false" outlineLevel="0" collapsed="false">
      <c r="A17" s="1" t="s">
        <v>1127</v>
      </c>
      <c r="B17" s="1" t="s">
        <v>1128</v>
      </c>
      <c r="G17" s="6" t="s">
        <v>150</v>
      </c>
      <c r="H17" s="28" t="n">
        <v>1</v>
      </c>
      <c r="I17" s="28" t="n">
        <f aca="false">'APUS COMUNICACIONES'!J205</f>
        <v>813.0862</v>
      </c>
      <c r="J17" s="9" t="n">
        <f aca="false">H17*I17</f>
        <v>813.0862</v>
      </c>
      <c r="K17" s="28"/>
      <c r="L17" s="71"/>
    </row>
    <row r="18" customFormat="false" ht="15" hidden="false" customHeight="false" outlineLevel="0" collapsed="false">
      <c r="A18" s="1" t="s">
        <v>1129</v>
      </c>
      <c r="B18" s="1" t="s">
        <v>1130</v>
      </c>
      <c r="G18" s="6" t="s">
        <v>150</v>
      </c>
      <c r="H18" s="28" t="n">
        <v>1</v>
      </c>
      <c r="I18" s="28" t="n">
        <f aca="false">'APUS COMUNICACIONES'!J219</f>
        <v>2276.0062</v>
      </c>
      <c r="J18" s="9" t="n">
        <f aca="false">H18*I18</f>
        <v>2276.0062</v>
      </c>
      <c r="K18" s="28"/>
      <c r="L18" s="71"/>
    </row>
    <row r="19" customFormat="false" ht="15" hidden="false" customHeight="false" outlineLevel="0" collapsed="false">
      <c r="A19" s="1" t="s">
        <v>1131</v>
      </c>
      <c r="B19" s="1" t="s">
        <v>1132</v>
      </c>
      <c r="G19" s="6" t="s">
        <v>150</v>
      </c>
      <c r="H19" s="28" t="n">
        <v>1</v>
      </c>
      <c r="I19" s="28" t="n">
        <f aca="false">'APUS COMUNICACIONES'!J233</f>
        <v>460.5362</v>
      </c>
      <c r="J19" s="9" t="n">
        <f aca="false">H19*I19</f>
        <v>460.5362</v>
      </c>
      <c r="K19" s="28"/>
      <c r="L19" s="71"/>
    </row>
    <row r="20" customFormat="false" ht="15" hidden="false" customHeight="false" outlineLevel="0" collapsed="false">
      <c r="A20" s="1" t="s">
        <v>1133</v>
      </c>
      <c r="B20" s="1" t="s">
        <v>1134</v>
      </c>
      <c r="G20" s="6" t="s">
        <v>150</v>
      </c>
      <c r="H20" s="28" t="n">
        <v>1</v>
      </c>
      <c r="I20" s="28" t="n">
        <f aca="false">'APUS COMUNICACIONES'!J247</f>
        <v>15436.0049333333</v>
      </c>
      <c r="J20" s="9" t="n">
        <f aca="false">H20*I20</f>
        <v>15436.0049333333</v>
      </c>
      <c r="K20" s="28"/>
      <c r="L20" s="71"/>
    </row>
    <row r="21" customFormat="false" ht="15" hidden="false" customHeight="false" outlineLevel="0" collapsed="false">
      <c r="A21" s="1" t="s">
        <v>1135</v>
      </c>
      <c r="B21" s="1" t="s">
        <v>1136</v>
      </c>
      <c r="G21" s="6" t="s">
        <v>150</v>
      </c>
      <c r="H21" s="28" t="n">
        <v>1</v>
      </c>
      <c r="I21" s="28" t="n">
        <f aca="false">'APUS COMUNICACIONES'!J261</f>
        <v>14367.0049333333</v>
      </c>
      <c r="J21" s="9" t="n">
        <f aca="false">H21*I21</f>
        <v>14367.0049333333</v>
      </c>
      <c r="K21" s="28"/>
      <c r="L21" s="71"/>
    </row>
    <row r="22" customFormat="false" ht="15" hidden="false" customHeight="false" outlineLevel="0" collapsed="false">
      <c r="A22" s="1" t="s">
        <v>1137</v>
      </c>
      <c r="B22" s="1" t="s">
        <v>1138</v>
      </c>
      <c r="G22" s="6" t="s">
        <v>150</v>
      </c>
      <c r="H22" s="28" t="n">
        <v>1</v>
      </c>
      <c r="I22" s="28" t="n">
        <f aca="false">'APUS COMUNICACIONES'!J275</f>
        <v>1343.8062</v>
      </c>
      <c r="J22" s="9" t="n">
        <f aca="false">H22*I22</f>
        <v>1343.8062</v>
      </c>
      <c r="K22" s="28"/>
      <c r="L22" s="71"/>
    </row>
    <row r="23" customFormat="false" ht="15" hidden="false" customHeight="false" outlineLevel="0" collapsed="false">
      <c r="A23" s="1" t="s">
        <v>1139</v>
      </c>
      <c r="B23" s="1" t="s">
        <v>1140</v>
      </c>
      <c r="G23" s="6" t="s">
        <v>150</v>
      </c>
      <c r="H23" s="28" t="n">
        <v>1</v>
      </c>
      <c r="I23" s="28" t="n">
        <f aca="false">'APUS COMUNICACIONES'!J289</f>
        <v>456.6362</v>
      </c>
      <c r="J23" s="9" t="n">
        <f aca="false">H23*I23</f>
        <v>456.6362</v>
      </c>
      <c r="K23" s="28"/>
      <c r="L23" s="71"/>
    </row>
    <row r="24" customFormat="false" ht="15" hidden="false" customHeight="false" outlineLevel="0" collapsed="false">
      <c r="A24" s="1" t="s">
        <v>1141</v>
      </c>
      <c r="B24" s="1" t="s">
        <v>1142</v>
      </c>
      <c r="G24" s="6" t="s">
        <v>150</v>
      </c>
      <c r="H24" s="28" t="n">
        <v>1</v>
      </c>
      <c r="I24" s="28" t="n">
        <f aca="false">'APUS COMUNICACIONES'!J303</f>
        <v>168.5562</v>
      </c>
      <c r="J24" s="9" t="n">
        <f aca="false">H24*I24</f>
        <v>168.5562</v>
      </c>
      <c r="K24" s="28"/>
      <c r="L24" s="71"/>
    </row>
    <row r="25" customFormat="false" ht="15" hidden="false" customHeight="false" outlineLevel="0" collapsed="false">
      <c r="A25" s="1" t="s">
        <v>1143</v>
      </c>
      <c r="B25" s="1" t="s">
        <v>1144</v>
      </c>
      <c r="G25" s="6" t="s">
        <v>150</v>
      </c>
      <c r="H25" s="28" t="n">
        <v>1</v>
      </c>
      <c r="I25" s="28" t="n">
        <f aca="false">'APUS COMUNICACIONES'!J318</f>
        <v>123.63752</v>
      </c>
      <c r="J25" s="9" t="n">
        <f aca="false">H25*I25</f>
        <v>123.63752</v>
      </c>
      <c r="K25" s="28"/>
      <c r="L25" s="71"/>
    </row>
    <row r="26" customFormat="false" ht="15" hidden="false" customHeight="false" outlineLevel="0" collapsed="false">
      <c r="A26" s="1" t="s">
        <v>1145</v>
      </c>
      <c r="B26" s="1" t="s">
        <v>1146</v>
      </c>
      <c r="G26" s="6" t="s">
        <v>150</v>
      </c>
      <c r="H26" s="28" t="n">
        <v>1</v>
      </c>
      <c r="I26" s="28" t="n">
        <f aca="false">'APUS COMUNICACIONES'!J333</f>
        <v>128.0294</v>
      </c>
      <c r="J26" s="9" t="n">
        <f aca="false">H26*I26</f>
        <v>128.0294</v>
      </c>
      <c r="K26" s="28"/>
      <c r="L26" s="71"/>
    </row>
    <row r="27" customFormat="false" ht="15" hidden="false" customHeight="false" outlineLevel="0" collapsed="false">
      <c r="A27" s="1" t="s">
        <v>1147</v>
      </c>
      <c r="B27" s="1" t="s">
        <v>1142</v>
      </c>
      <c r="G27" s="6" t="s">
        <v>150</v>
      </c>
      <c r="H27" s="28" t="n">
        <v>1</v>
      </c>
      <c r="I27" s="28" t="n">
        <f aca="false">'APUS COMUNICACIONES'!J348</f>
        <v>147.2294</v>
      </c>
      <c r="J27" s="9" t="n">
        <f aca="false">H27*I27</f>
        <v>147.2294</v>
      </c>
      <c r="K27" s="28"/>
      <c r="L27" s="71"/>
    </row>
    <row r="28" customFormat="false" ht="15" hidden="false" customHeight="false" outlineLevel="0" collapsed="false">
      <c r="A28" s="1" t="s">
        <v>1148</v>
      </c>
      <c r="B28" s="1" t="s">
        <v>1149</v>
      </c>
      <c r="G28" s="6" t="s">
        <v>150</v>
      </c>
      <c r="H28" s="28" t="n">
        <v>1</v>
      </c>
      <c r="I28" s="28" t="n">
        <f aca="false">'APUS COMUNICACIONES'!J363</f>
        <v>6299.9952</v>
      </c>
      <c r="J28" s="9" t="n">
        <f aca="false">H28*I28</f>
        <v>6299.9952</v>
      </c>
      <c r="K28" s="28"/>
      <c r="L28" s="71"/>
    </row>
    <row r="29" customFormat="false" ht="15" hidden="false" customHeight="false" outlineLevel="0" collapsed="false">
      <c r="A29" s="1" t="s">
        <v>1150</v>
      </c>
      <c r="B29" s="1" t="s">
        <v>1151</v>
      </c>
      <c r="G29" s="6" t="s">
        <v>150</v>
      </c>
      <c r="H29" s="28" t="n">
        <v>1</v>
      </c>
      <c r="I29" s="28" t="n">
        <f aca="false">'APUS COMUNICACIONES'!J377</f>
        <v>8658.3952</v>
      </c>
      <c r="J29" s="9" t="n">
        <f aca="false">H29*I29</f>
        <v>8658.3952</v>
      </c>
      <c r="K29" s="28"/>
      <c r="L29" s="71"/>
    </row>
    <row r="30" customFormat="false" ht="15" hidden="false" customHeight="false" outlineLevel="0" collapsed="false">
      <c r="A30" s="1" t="s">
        <v>1152</v>
      </c>
      <c r="B30" s="1" t="s">
        <v>1153</v>
      </c>
      <c r="G30" s="6" t="s">
        <v>150</v>
      </c>
      <c r="H30" s="28" t="n">
        <v>1</v>
      </c>
      <c r="I30" s="28" t="n">
        <f aca="false">'APUS COMUNICACIONES'!J391</f>
        <v>9537.4312</v>
      </c>
      <c r="J30" s="9" t="n">
        <f aca="false">H30*I30</f>
        <v>9537.4312</v>
      </c>
      <c r="K30" s="28"/>
      <c r="L30" s="71"/>
    </row>
    <row r="31" customFormat="false" ht="15" hidden="false" customHeight="false" outlineLevel="0" collapsed="false">
      <c r="A31" s="14" t="n">
        <v>6.03</v>
      </c>
      <c r="B31" s="13" t="s">
        <v>1154</v>
      </c>
      <c r="G31" s="6"/>
      <c r="H31" s="28"/>
      <c r="J31" s="40" t="n">
        <f aca="false">SUM(J32:J34)</f>
        <v>14134.2888</v>
      </c>
      <c r="L31" s="71"/>
    </row>
    <row r="32" customFormat="false" ht="15" hidden="false" customHeight="false" outlineLevel="0" collapsed="false">
      <c r="A32" s="1" t="s">
        <v>1155</v>
      </c>
      <c r="B32" s="1" t="s">
        <v>1156</v>
      </c>
      <c r="G32" s="6" t="s">
        <v>150</v>
      </c>
      <c r="H32" s="28" t="n">
        <v>1</v>
      </c>
      <c r="I32" s="28" t="n">
        <f aca="false">'APUS COMUNICACIONES'!J408</f>
        <v>8361.6008</v>
      </c>
      <c r="J32" s="9" t="n">
        <f aca="false">H32*I32</f>
        <v>8361.6008</v>
      </c>
      <c r="K32" s="28"/>
      <c r="L32" s="71"/>
      <c r="P32" s="14"/>
    </row>
    <row r="33" customFormat="false" ht="15" hidden="false" customHeight="false" outlineLevel="0" collapsed="false">
      <c r="A33" s="1" t="s">
        <v>1157</v>
      </c>
      <c r="B33" s="1" t="s">
        <v>1158</v>
      </c>
      <c r="G33" s="6" t="s">
        <v>150</v>
      </c>
      <c r="H33" s="28" t="n">
        <f aca="false">ROUNDUP(SUM(BIBLIOTECA:INGRESO!G85:G85),0)</f>
        <v>5</v>
      </c>
      <c r="I33" s="28" t="n">
        <f aca="false">'APUS COMUNICACIONES'!J422</f>
        <v>633.6988</v>
      </c>
      <c r="J33" s="9" t="n">
        <f aca="false">H33*I33</f>
        <v>3168.494</v>
      </c>
      <c r="K33" s="28"/>
      <c r="L33" s="71"/>
    </row>
    <row r="34" customFormat="false" ht="15" hidden="false" customHeight="false" outlineLevel="0" collapsed="false">
      <c r="A34" s="1" t="s">
        <v>1159</v>
      </c>
      <c r="B34" s="1" t="s">
        <v>1160</v>
      </c>
      <c r="G34" s="6" t="s">
        <v>150</v>
      </c>
      <c r="H34" s="28" t="n">
        <f aca="false">ROUNDUP(SUM(BIBLIOTECA:INGRESO!G86:G86),0)</f>
        <v>5</v>
      </c>
      <c r="I34" s="28" t="n">
        <f aca="false">'APUS COMUNICACIONES'!J440</f>
        <v>520.8388</v>
      </c>
      <c r="J34" s="9" t="n">
        <f aca="false">H34*I34</f>
        <v>2604.194</v>
      </c>
      <c r="K34" s="28"/>
      <c r="L34" s="71"/>
    </row>
    <row r="35" customFormat="false" ht="15" hidden="false" customHeight="false" outlineLevel="0" collapsed="false">
      <c r="A35" s="14" t="n">
        <v>6.04</v>
      </c>
      <c r="B35" s="13" t="s">
        <v>1161</v>
      </c>
      <c r="G35" s="6"/>
      <c r="H35" s="28"/>
      <c r="J35" s="40" t="n">
        <f aca="false">SUM(J36:J37)</f>
        <v>4574.862</v>
      </c>
      <c r="L35" s="71"/>
    </row>
    <row r="36" customFormat="false" ht="15" hidden="false" customHeight="false" outlineLevel="0" collapsed="false">
      <c r="A36" s="1" t="s">
        <v>1162</v>
      </c>
      <c r="B36" s="1" t="s">
        <v>1163</v>
      </c>
      <c r="G36" s="6" t="s">
        <v>150</v>
      </c>
      <c r="H36" s="28" t="n">
        <v>1</v>
      </c>
      <c r="I36" s="28" t="n">
        <f aca="false">'APUS COMUNICACIONES'!J455</f>
        <v>530.5052</v>
      </c>
      <c r="J36" s="9" t="n">
        <f aca="false">H36*I36</f>
        <v>530.5052</v>
      </c>
      <c r="K36" s="28"/>
      <c r="L36" s="71"/>
      <c r="P36" s="14"/>
    </row>
    <row r="37" customFormat="false" ht="15" hidden="false" customHeight="false" outlineLevel="0" collapsed="false">
      <c r="A37" s="1" t="s">
        <v>1164</v>
      </c>
      <c r="B37" s="1" t="s">
        <v>1165</v>
      </c>
      <c r="G37" s="6" t="s">
        <v>150</v>
      </c>
      <c r="H37" s="28" t="n">
        <f aca="false">ROUNDUP(SUM(BIBLIOTECA:INGRESO!G88:G88),0)</f>
        <v>11</v>
      </c>
      <c r="I37" s="28" t="n">
        <f aca="false">'APUS COMUNICACIONES'!J469</f>
        <v>367.6688</v>
      </c>
      <c r="J37" s="9" t="n">
        <f aca="false">H37*I37</f>
        <v>4044.3568</v>
      </c>
      <c r="K37" s="28"/>
      <c r="L37" s="71"/>
    </row>
    <row r="38" customFormat="false" ht="15" hidden="false" customHeight="false" outlineLevel="0" collapsed="false">
      <c r="A38" s="14" t="n">
        <v>6.05</v>
      </c>
      <c r="B38" s="13" t="s">
        <v>1166</v>
      </c>
      <c r="G38" s="6"/>
      <c r="H38" s="28"/>
      <c r="J38" s="40" t="n">
        <f aca="false">SUM(J39:J41)</f>
        <v>1759.5479</v>
      </c>
      <c r="L38" s="71"/>
    </row>
    <row r="39" customFormat="false" ht="15" hidden="false" customHeight="false" outlineLevel="0" collapsed="false">
      <c r="A39" s="1" t="s">
        <v>1167</v>
      </c>
      <c r="B39" s="1" t="s">
        <v>1168</v>
      </c>
      <c r="G39" s="6" t="s">
        <v>150</v>
      </c>
      <c r="H39" s="28" t="n">
        <v>1</v>
      </c>
      <c r="I39" s="28" t="n">
        <f aca="false">'APUS COMUNICACIONES'!J484</f>
        <v>957.174</v>
      </c>
      <c r="J39" s="9" t="n">
        <f aca="false">H39*I39</f>
        <v>957.174</v>
      </c>
      <c r="K39" s="28"/>
      <c r="L39" s="71"/>
      <c r="P39" s="14"/>
    </row>
    <row r="40" customFormat="false" ht="15" hidden="false" customHeight="false" outlineLevel="0" collapsed="false">
      <c r="A40" s="1" t="s">
        <v>1169</v>
      </c>
      <c r="B40" s="1" t="s">
        <v>1170</v>
      </c>
      <c r="G40" s="6" t="s">
        <v>150</v>
      </c>
      <c r="H40" s="28" t="n">
        <f aca="false">ROUNDUP(SUM(BIBLIOTECA:INGRESO!G90:G90),0)</f>
        <v>5</v>
      </c>
      <c r="I40" s="28" t="n">
        <f aca="false">'APUS COMUNICACIONES'!J497</f>
        <v>96.14409</v>
      </c>
      <c r="J40" s="9" t="n">
        <f aca="false">H40*I40</f>
        <v>480.72045</v>
      </c>
      <c r="K40" s="28"/>
      <c r="L40" s="71"/>
    </row>
    <row r="41" customFormat="false" ht="15" hidden="false" customHeight="false" outlineLevel="0" collapsed="false">
      <c r="A41" s="1" t="s">
        <v>1171</v>
      </c>
      <c r="B41" s="1" t="s">
        <v>1172</v>
      </c>
      <c r="G41" s="6" t="s">
        <v>150</v>
      </c>
      <c r="H41" s="28" t="n">
        <f aca="false">ROUNDUP(SUM(BIBLIOTECA:INGRESO!G91:G91),0)</f>
        <v>5</v>
      </c>
      <c r="I41" s="28" t="n">
        <f aca="false">'APUS COMUNICACIONES'!J513</f>
        <v>64.33069</v>
      </c>
      <c r="J41" s="9" t="n">
        <f aca="false">H41*I41</f>
        <v>321.65345</v>
      </c>
      <c r="K41" s="28"/>
      <c r="L41" s="71"/>
    </row>
    <row r="42" customFormat="false" ht="15" hidden="false" customHeight="false" outlineLevel="0" collapsed="false">
      <c r="G42" s="6"/>
    </row>
    <row r="43" customFormat="false" ht="15" hidden="false" customHeight="false" outlineLevel="0" collapsed="false">
      <c r="G43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4:O529"/>
  <sheetViews>
    <sheetView showFormulas="false" showGridLines="true" showRowColHeaders="true" showZeros="true" rightToLeft="false" tabSelected="false" showOutlineSymbols="true" defaultGridColor="true" view="normal" topLeftCell="A509" colorId="64" zoomScale="100" zoomScaleNormal="100" zoomScalePageLayoutView="100" workbookViewId="0">
      <selection pane="topLeft" activeCell="J509" activeCellId="0" sqref="J509"/>
    </sheetView>
  </sheetViews>
  <sheetFormatPr defaultColWidth="8.59765625" defaultRowHeight="15" zeroHeight="false" outlineLevelRow="0" outlineLevelCol="0"/>
  <cols>
    <col collapsed="false" customWidth="true" hidden="false" outlineLevel="0" max="9" min="9" style="1" width="9.3"/>
    <col collapsed="false" customWidth="true" hidden="false" outlineLevel="0" max="15" min="10" style="1" width="9.14"/>
    <col collapsed="false" customWidth="true" hidden="false" outlineLevel="0" max="17" min="16" style="1" width="10.86"/>
  </cols>
  <sheetData>
    <row r="4" customFormat="false" ht="15" hidden="false" customHeight="false" outlineLevel="0" collapsed="false">
      <c r="A4" s="14" t="s">
        <v>278</v>
      </c>
      <c r="B4" s="14" t="str">
        <f aca="false">COMUNICACIONES!A4</f>
        <v>06.01.01</v>
      </c>
      <c r="C4" s="14" t="s">
        <v>1103</v>
      </c>
      <c r="D4" s="14"/>
    </row>
    <row r="5" customFormat="false" ht="15" hidden="false" customHeight="false" outlineLevel="0" collapsed="false">
      <c r="A5" s="14" t="s">
        <v>279</v>
      </c>
      <c r="B5" s="14" t="s">
        <v>326</v>
      </c>
      <c r="C5" s="36" t="s">
        <v>281</v>
      </c>
      <c r="D5" s="52" t="n">
        <v>8</v>
      </c>
      <c r="E5" s="36" t="s">
        <v>282</v>
      </c>
      <c r="F5" s="52" t="n">
        <f aca="false">D5</f>
        <v>8</v>
      </c>
      <c r="G5" s="14" t="s">
        <v>283</v>
      </c>
      <c r="I5" s="36" t="s">
        <v>150</v>
      </c>
      <c r="J5" s="53" t="n">
        <f aca="false">J10+J17+J20</f>
        <v>279.8531</v>
      </c>
    </row>
    <row r="6" customFormat="false" ht="15" hidden="false" customHeight="false" outlineLevel="0" collapsed="false">
      <c r="A6" s="14" t="s">
        <v>284</v>
      </c>
      <c r="B6" s="14" t="s">
        <v>285</v>
      </c>
      <c r="F6" s="36" t="s">
        <v>123</v>
      </c>
      <c r="G6" s="36" t="s">
        <v>286</v>
      </c>
      <c r="H6" s="36" t="s">
        <v>287</v>
      </c>
      <c r="I6" s="36" t="s">
        <v>288</v>
      </c>
      <c r="J6" s="36" t="s">
        <v>289</v>
      </c>
    </row>
    <row r="7" customFormat="false" ht="15" hidden="false" customHeight="false" outlineLevel="0" collapsed="false">
      <c r="B7" s="54" t="s">
        <v>290</v>
      </c>
    </row>
    <row r="8" customFormat="false" ht="15" hidden="false" customHeight="false" outlineLevel="0" collapsed="false">
      <c r="B8" s="1" t="s">
        <v>680</v>
      </c>
      <c r="F8" s="55" t="s">
        <v>292</v>
      </c>
      <c r="G8" s="56" t="n">
        <v>1</v>
      </c>
      <c r="H8" s="57" t="n">
        <f aca="false">G8*8/$D$5</f>
        <v>1</v>
      </c>
      <c r="I8" s="28" t="n">
        <v>22.66</v>
      </c>
      <c r="J8" s="28" t="n">
        <f aca="false">H8*I8</f>
        <v>22.66</v>
      </c>
    </row>
    <row r="9" customFormat="false" ht="15" hidden="false" customHeight="false" outlineLevel="0" collapsed="false">
      <c r="B9" s="1" t="s">
        <v>1173</v>
      </c>
      <c r="F9" s="55" t="s">
        <v>292</v>
      </c>
      <c r="G9" s="56" t="n">
        <v>1</v>
      </c>
      <c r="H9" s="57" t="n">
        <f aca="false">G9*8/$D$5</f>
        <v>1</v>
      </c>
      <c r="I9" s="1" t="n">
        <v>26.11</v>
      </c>
      <c r="J9" s="28" t="n">
        <f aca="false">H9*I9</f>
        <v>26.11</v>
      </c>
    </row>
    <row r="10" customFormat="false" ht="15" hidden="false" customHeight="false" outlineLevel="0" collapsed="false">
      <c r="F10" s="55"/>
      <c r="G10" s="56"/>
      <c r="H10" s="57"/>
      <c r="J10" s="53" t="n">
        <f aca="false">SUM(J8:J9)</f>
        <v>48.77</v>
      </c>
    </row>
    <row r="11" customFormat="false" ht="15" hidden="false" customHeight="false" outlineLevel="0" collapsed="false">
      <c r="B11" s="54" t="s">
        <v>654</v>
      </c>
      <c r="F11" s="55"/>
      <c r="G11" s="56"/>
      <c r="H11" s="57"/>
      <c r="I11" s="57"/>
      <c r="J11" s="28"/>
    </row>
    <row r="12" customFormat="false" ht="15" hidden="false" customHeight="false" outlineLevel="0" collapsed="false">
      <c r="B12" s="1" t="s">
        <v>1174</v>
      </c>
      <c r="F12" s="55" t="s">
        <v>150</v>
      </c>
      <c r="H12" s="57" t="n">
        <v>2</v>
      </c>
      <c r="I12" s="28" t="n">
        <v>40</v>
      </c>
      <c r="J12" s="28" t="n">
        <f aca="false">H12*I12</f>
        <v>80</v>
      </c>
    </row>
    <row r="13" customFormat="false" ht="15" hidden="false" customHeight="false" outlineLevel="0" collapsed="false">
      <c r="B13" s="1" t="s">
        <v>1175</v>
      </c>
      <c r="F13" s="55" t="s">
        <v>150</v>
      </c>
      <c r="H13" s="57" t="n">
        <v>1</v>
      </c>
      <c r="I13" s="28" t="n">
        <v>7</v>
      </c>
      <c r="J13" s="28" t="n">
        <f aca="false">H13*I13</f>
        <v>7</v>
      </c>
    </row>
    <row r="14" customFormat="false" ht="15" hidden="false" customHeight="false" outlineLevel="0" collapsed="false">
      <c r="B14" s="1" t="s">
        <v>1176</v>
      </c>
      <c r="F14" s="55" t="s">
        <v>150</v>
      </c>
      <c r="H14" s="57" t="n">
        <v>1</v>
      </c>
      <c r="I14" s="28" t="n">
        <v>140</v>
      </c>
      <c r="J14" s="28" t="n">
        <f aca="false">H14*I14</f>
        <v>140</v>
      </c>
    </row>
    <row r="15" customFormat="false" ht="15" hidden="false" customHeight="false" outlineLevel="0" collapsed="false">
      <c r="B15" s="1" t="s">
        <v>1177</v>
      </c>
      <c r="F15" s="55" t="s">
        <v>150</v>
      </c>
      <c r="H15" s="57" t="n">
        <v>1</v>
      </c>
      <c r="I15" s="28" t="n">
        <v>0.93</v>
      </c>
      <c r="J15" s="28" t="n">
        <f aca="false">H15*I15</f>
        <v>0.93</v>
      </c>
    </row>
    <row r="16" customFormat="false" ht="15" hidden="false" customHeight="false" outlineLevel="0" collapsed="false">
      <c r="B16" s="1" t="s">
        <v>1178</v>
      </c>
      <c r="F16" s="55" t="s">
        <v>150</v>
      </c>
      <c r="H16" s="57" t="n">
        <v>1</v>
      </c>
      <c r="I16" s="28" t="n">
        <v>1.69</v>
      </c>
      <c r="J16" s="28" t="n">
        <f aca="false">H16*I16</f>
        <v>1.69</v>
      </c>
    </row>
    <row r="17" customFormat="false" ht="15" hidden="false" customHeight="false" outlineLevel="0" collapsed="false">
      <c r="J17" s="53" t="n">
        <f aca="false">SUM(J12:J16)</f>
        <v>229.62</v>
      </c>
    </row>
    <row r="18" customFormat="false" ht="15" hidden="false" customHeight="false" outlineLevel="0" collapsed="false">
      <c r="B18" s="54" t="s">
        <v>310</v>
      </c>
    </row>
    <row r="19" customFormat="false" ht="15" hidden="false" customHeight="false" outlineLevel="0" collapsed="false">
      <c r="B19" s="1" t="s">
        <v>311</v>
      </c>
      <c r="F19" s="55" t="s">
        <v>312</v>
      </c>
      <c r="H19" s="57" t="n">
        <v>3</v>
      </c>
      <c r="I19" s="28" t="n">
        <f aca="false">J10</f>
        <v>48.77</v>
      </c>
      <c r="J19" s="28" t="n">
        <f aca="false">H19%*I19</f>
        <v>1.4631</v>
      </c>
    </row>
    <row r="20" customFormat="false" ht="15" hidden="false" customHeight="false" outlineLevel="0" collapsed="false">
      <c r="A20" s="60"/>
      <c r="B20" s="60"/>
      <c r="C20" s="60"/>
      <c r="D20" s="60"/>
      <c r="E20" s="60"/>
      <c r="F20" s="60"/>
      <c r="G20" s="60"/>
      <c r="H20" s="60"/>
      <c r="I20" s="80"/>
      <c r="J20" s="61" t="n">
        <f aca="false">SUM(J19)</f>
        <v>1.4631</v>
      </c>
    </row>
    <row r="22" customFormat="false" ht="15" hidden="false" customHeight="false" outlineLevel="0" collapsed="false">
      <c r="A22" s="14" t="s">
        <v>278</v>
      </c>
      <c r="B22" s="14" t="str">
        <f aca="false">COMUNICACIONES!A5</f>
        <v>06.01.02</v>
      </c>
      <c r="C22" s="14" t="s">
        <v>1105</v>
      </c>
      <c r="D22" s="14"/>
    </row>
    <row r="23" customFormat="false" ht="15" hidden="false" customHeight="false" outlineLevel="0" collapsed="false">
      <c r="A23" s="14" t="s">
        <v>279</v>
      </c>
      <c r="B23" s="14" t="s">
        <v>326</v>
      </c>
      <c r="C23" s="36" t="s">
        <v>281</v>
      </c>
      <c r="D23" s="52" t="n">
        <v>8</v>
      </c>
      <c r="E23" s="36" t="s">
        <v>282</v>
      </c>
      <c r="F23" s="52" t="n">
        <f aca="false">D23</f>
        <v>8</v>
      </c>
      <c r="G23" s="14" t="s">
        <v>283</v>
      </c>
      <c r="I23" s="36" t="s">
        <v>150</v>
      </c>
      <c r="J23" s="53" t="n">
        <f aca="false">J28+J35+J38</f>
        <v>95.8431</v>
      </c>
    </row>
    <row r="24" customFormat="false" ht="15" hidden="false" customHeight="false" outlineLevel="0" collapsed="false">
      <c r="A24" s="14" t="s">
        <v>284</v>
      </c>
      <c r="B24" s="14" t="s">
        <v>285</v>
      </c>
      <c r="F24" s="36" t="s">
        <v>123</v>
      </c>
      <c r="G24" s="36" t="s">
        <v>286</v>
      </c>
      <c r="H24" s="36" t="s">
        <v>287</v>
      </c>
      <c r="I24" s="36" t="s">
        <v>288</v>
      </c>
      <c r="J24" s="36" t="s">
        <v>289</v>
      </c>
    </row>
    <row r="25" customFormat="false" ht="15" hidden="false" customHeight="false" outlineLevel="0" collapsed="false">
      <c r="B25" s="54" t="s">
        <v>290</v>
      </c>
    </row>
    <row r="26" customFormat="false" ht="15" hidden="false" customHeight="false" outlineLevel="0" collapsed="false">
      <c r="B26" s="1" t="s">
        <v>680</v>
      </c>
      <c r="F26" s="55" t="s">
        <v>292</v>
      </c>
      <c r="G26" s="56" t="n">
        <v>1</v>
      </c>
      <c r="H26" s="57" t="n">
        <f aca="false">G26*8/$D$23</f>
        <v>1</v>
      </c>
      <c r="I26" s="28" t="n">
        <v>22.66</v>
      </c>
      <c r="J26" s="28" t="n">
        <f aca="false">H26*I26</f>
        <v>22.66</v>
      </c>
    </row>
    <row r="27" customFormat="false" ht="15" hidden="false" customHeight="false" outlineLevel="0" collapsed="false">
      <c r="B27" s="1" t="s">
        <v>1173</v>
      </c>
      <c r="F27" s="55" t="s">
        <v>292</v>
      </c>
      <c r="G27" s="56" t="n">
        <v>1</v>
      </c>
      <c r="H27" s="57" t="n">
        <f aca="false">G27*8/$D$23</f>
        <v>1</v>
      </c>
      <c r="I27" s="1" t="n">
        <v>26.11</v>
      </c>
      <c r="J27" s="28" t="n">
        <f aca="false">H27*I27</f>
        <v>26.11</v>
      </c>
    </row>
    <row r="28" customFormat="false" ht="15" hidden="false" customHeight="false" outlineLevel="0" collapsed="false">
      <c r="F28" s="55"/>
      <c r="G28" s="56"/>
      <c r="H28" s="57"/>
      <c r="J28" s="53" t="n">
        <f aca="false">SUM(J26:J27)</f>
        <v>48.77</v>
      </c>
    </row>
    <row r="29" customFormat="false" ht="15" hidden="false" customHeight="false" outlineLevel="0" collapsed="false">
      <c r="B29" s="54" t="s">
        <v>654</v>
      </c>
      <c r="F29" s="55"/>
      <c r="G29" s="56"/>
      <c r="H29" s="57"/>
      <c r="I29" s="57"/>
      <c r="J29" s="28"/>
    </row>
    <row r="30" customFormat="false" ht="15" hidden="false" customHeight="false" outlineLevel="0" collapsed="false">
      <c r="B30" s="1" t="s">
        <v>1179</v>
      </c>
      <c r="F30" s="55" t="s">
        <v>150</v>
      </c>
      <c r="H30" s="57" t="n">
        <v>2</v>
      </c>
      <c r="I30" s="28" t="n">
        <v>12.63</v>
      </c>
      <c r="J30" s="28" t="n">
        <f aca="false">H30*I30</f>
        <v>25.26</v>
      </c>
    </row>
    <row r="31" customFormat="false" ht="15" hidden="false" customHeight="false" outlineLevel="0" collapsed="false">
      <c r="B31" s="1" t="s">
        <v>1180</v>
      </c>
      <c r="F31" s="55" t="s">
        <v>150</v>
      </c>
      <c r="H31" s="57" t="n">
        <v>1</v>
      </c>
      <c r="I31" s="28" t="n">
        <v>3.73</v>
      </c>
      <c r="J31" s="28" t="n">
        <f aca="false">H31*I31</f>
        <v>3.73</v>
      </c>
    </row>
    <row r="32" customFormat="false" ht="15" hidden="false" customHeight="false" outlineLevel="0" collapsed="false">
      <c r="B32" s="1" t="s">
        <v>1177</v>
      </c>
      <c r="F32" s="55" t="s">
        <v>150</v>
      </c>
      <c r="H32" s="57" t="n">
        <v>1</v>
      </c>
      <c r="I32" s="28" t="n">
        <v>0.93</v>
      </c>
      <c r="J32" s="28" t="n">
        <f aca="false">H32*I32</f>
        <v>0.93</v>
      </c>
    </row>
    <row r="33" customFormat="false" ht="15" hidden="false" customHeight="false" outlineLevel="0" collapsed="false">
      <c r="B33" s="1" t="s">
        <v>1178</v>
      </c>
      <c r="F33" s="55" t="s">
        <v>150</v>
      </c>
      <c r="H33" s="57" t="n">
        <v>1</v>
      </c>
      <c r="I33" s="28" t="n">
        <v>1.69</v>
      </c>
      <c r="J33" s="28" t="n">
        <f aca="false">H33*I33</f>
        <v>1.69</v>
      </c>
    </row>
    <row r="34" customFormat="false" ht="15" hidden="false" customHeight="false" outlineLevel="0" collapsed="false">
      <c r="B34" s="1" t="s">
        <v>1181</v>
      </c>
      <c r="F34" s="55" t="s">
        <v>150</v>
      </c>
      <c r="H34" s="57" t="n">
        <v>1</v>
      </c>
      <c r="I34" s="28" t="n">
        <v>14</v>
      </c>
      <c r="J34" s="28" t="n">
        <f aca="false">H34*I34</f>
        <v>14</v>
      </c>
    </row>
    <row r="35" customFormat="false" ht="15" hidden="false" customHeight="false" outlineLevel="0" collapsed="false">
      <c r="J35" s="53" t="n">
        <f aca="false">SUM(J30:J34)</f>
        <v>45.61</v>
      </c>
    </row>
    <row r="36" customFormat="false" ht="15" hidden="false" customHeight="false" outlineLevel="0" collapsed="false">
      <c r="B36" s="54" t="s">
        <v>310</v>
      </c>
    </row>
    <row r="37" customFormat="false" ht="15" hidden="false" customHeight="false" outlineLevel="0" collapsed="false">
      <c r="B37" s="1" t="s">
        <v>311</v>
      </c>
      <c r="F37" s="55" t="s">
        <v>312</v>
      </c>
      <c r="H37" s="57" t="n">
        <v>3</v>
      </c>
      <c r="I37" s="28" t="n">
        <f aca="false">J28</f>
        <v>48.77</v>
      </c>
      <c r="J37" s="28" t="n">
        <f aca="false">H37%*I37</f>
        <v>1.4631</v>
      </c>
    </row>
    <row r="38" customFormat="false" ht="15" hidden="false" customHeight="false" outlineLevel="0" collapsed="false">
      <c r="A38" s="60"/>
      <c r="B38" s="60"/>
      <c r="C38" s="60"/>
      <c r="D38" s="60"/>
      <c r="E38" s="60"/>
      <c r="F38" s="60"/>
      <c r="G38" s="60"/>
      <c r="H38" s="60"/>
      <c r="I38" s="80"/>
      <c r="J38" s="61" t="n">
        <f aca="false">SUM(J37)</f>
        <v>1.4631</v>
      </c>
    </row>
    <row r="40" customFormat="false" ht="15" hidden="false" customHeight="false" outlineLevel="0" collapsed="false">
      <c r="A40" s="14" t="s">
        <v>278</v>
      </c>
      <c r="B40" s="14" t="str">
        <f aca="false">COMUNICACIONES!A6</f>
        <v>06.01.03</v>
      </c>
      <c r="C40" s="14" t="s">
        <v>1107</v>
      </c>
      <c r="D40" s="14"/>
    </row>
    <row r="41" customFormat="false" ht="15" hidden="false" customHeight="false" outlineLevel="0" collapsed="false">
      <c r="A41" s="14" t="s">
        <v>279</v>
      </c>
      <c r="B41" s="14" t="s">
        <v>326</v>
      </c>
      <c r="C41" s="36" t="s">
        <v>281</v>
      </c>
      <c r="D41" s="52" t="n">
        <v>8</v>
      </c>
      <c r="E41" s="36" t="s">
        <v>282</v>
      </c>
      <c r="F41" s="52" t="n">
        <f aca="false">D41</f>
        <v>8</v>
      </c>
      <c r="G41" s="14" t="s">
        <v>283</v>
      </c>
      <c r="I41" s="36" t="s">
        <v>150</v>
      </c>
      <c r="J41" s="53" t="n">
        <f aca="false">J46+J53+J56</f>
        <v>95.8431</v>
      </c>
      <c r="N41" s="14"/>
      <c r="O41" s="14"/>
    </row>
    <row r="42" customFormat="false" ht="15" hidden="false" customHeight="false" outlineLevel="0" collapsed="false">
      <c r="A42" s="14" t="s">
        <v>284</v>
      </c>
      <c r="B42" s="14" t="s">
        <v>285</v>
      </c>
      <c r="F42" s="36" t="s">
        <v>123</v>
      </c>
      <c r="G42" s="36" t="s">
        <v>286</v>
      </c>
      <c r="H42" s="36" t="s">
        <v>287</v>
      </c>
      <c r="I42" s="36" t="s">
        <v>288</v>
      </c>
      <c r="J42" s="36" t="s">
        <v>289</v>
      </c>
      <c r="O42" s="14"/>
    </row>
    <row r="43" customFormat="false" ht="15" hidden="false" customHeight="false" outlineLevel="0" collapsed="false">
      <c r="B43" s="54" t="s">
        <v>290</v>
      </c>
      <c r="O43" s="14"/>
    </row>
    <row r="44" customFormat="false" ht="15" hidden="false" customHeight="false" outlineLevel="0" collapsed="false">
      <c r="B44" s="1" t="s">
        <v>680</v>
      </c>
      <c r="F44" s="55" t="s">
        <v>292</v>
      </c>
      <c r="G44" s="56" t="n">
        <v>1</v>
      </c>
      <c r="H44" s="57" t="n">
        <f aca="false">G44*8/$D$41</f>
        <v>1</v>
      </c>
      <c r="I44" s="28" t="n">
        <v>22.66</v>
      </c>
      <c r="J44" s="28" t="n">
        <f aca="false">H44*I44</f>
        <v>22.66</v>
      </c>
    </row>
    <row r="45" customFormat="false" ht="15" hidden="false" customHeight="false" outlineLevel="0" collapsed="false">
      <c r="B45" s="1" t="s">
        <v>1173</v>
      </c>
      <c r="F45" s="55" t="s">
        <v>292</v>
      </c>
      <c r="G45" s="56" t="n">
        <v>1</v>
      </c>
      <c r="H45" s="57" t="n">
        <f aca="false">G45*8/$D$41</f>
        <v>1</v>
      </c>
      <c r="I45" s="1" t="n">
        <v>26.11</v>
      </c>
      <c r="J45" s="28" t="n">
        <f aca="false">H45*I45</f>
        <v>26.11</v>
      </c>
    </row>
    <row r="46" customFormat="false" ht="15" hidden="false" customHeight="false" outlineLevel="0" collapsed="false">
      <c r="F46" s="55"/>
      <c r="G46" s="56"/>
      <c r="H46" s="57"/>
      <c r="J46" s="53" t="n">
        <f aca="false">SUM(J44:J45)</f>
        <v>48.77</v>
      </c>
    </row>
    <row r="47" customFormat="false" ht="15" hidden="false" customHeight="false" outlineLevel="0" collapsed="false">
      <c r="B47" s="54" t="s">
        <v>654</v>
      </c>
      <c r="F47" s="55"/>
      <c r="G47" s="56"/>
      <c r="H47" s="57"/>
      <c r="I47" s="57"/>
      <c r="J47" s="28"/>
    </row>
    <row r="48" customFormat="false" ht="15" hidden="false" customHeight="false" outlineLevel="0" collapsed="false">
      <c r="B48" s="1" t="s">
        <v>1179</v>
      </c>
      <c r="F48" s="55" t="s">
        <v>150</v>
      </c>
      <c r="H48" s="57" t="n">
        <v>2</v>
      </c>
      <c r="I48" s="28" t="n">
        <v>12.63</v>
      </c>
      <c r="J48" s="28" t="n">
        <f aca="false">H48*I48</f>
        <v>25.26</v>
      </c>
    </row>
    <row r="49" customFormat="false" ht="15" hidden="false" customHeight="false" outlineLevel="0" collapsed="false">
      <c r="B49" s="1" t="s">
        <v>1180</v>
      </c>
      <c r="F49" s="55" t="s">
        <v>150</v>
      </c>
      <c r="H49" s="57" t="n">
        <v>1</v>
      </c>
      <c r="I49" s="28" t="n">
        <v>3.73</v>
      </c>
      <c r="J49" s="28" t="n">
        <f aca="false">H49*I49</f>
        <v>3.73</v>
      </c>
    </row>
    <row r="50" customFormat="false" ht="15" hidden="false" customHeight="false" outlineLevel="0" collapsed="false">
      <c r="B50" s="1" t="s">
        <v>1177</v>
      </c>
      <c r="F50" s="55" t="s">
        <v>150</v>
      </c>
      <c r="H50" s="57" t="n">
        <v>1</v>
      </c>
      <c r="I50" s="28" t="n">
        <v>0.93</v>
      </c>
      <c r="J50" s="28" t="n">
        <f aca="false">H50*I50</f>
        <v>0.93</v>
      </c>
    </row>
    <row r="51" customFormat="false" ht="15" hidden="false" customHeight="false" outlineLevel="0" collapsed="false">
      <c r="B51" s="1" t="s">
        <v>1178</v>
      </c>
      <c r="F51" s="55" t="s">
        <v>150</v>
      </c>
      <c r="H51" s="57" t="n">
        <v>1</v>
      </c>
      <c r="I51" s="28" t="n">
        <v>1.69</v>
      </c>
      <c r="J51" s="28" t="n">
        <f aca="false">H51*I51</f>
        <v>1.69</v>
      </c>
    </row>
    <row r="52" customFormat="false" ht="15" hidden="false" customHeight="false" outlineLevel="0" collapsed="false">
      <c r="B52" s="1" t="s">
        <v>1181</v>
      </c>
      <c r="F52" s="55" t="s">
        <v>150</v>
      </c>
      <c r="H52" s="57" t="n">
        <v>1</v>
      </c>
      <c r="I52" s="28" t="n">
        <v>14</v>
      </c>
      <c r="J52" s="28" t="n">
        <f aca="false">H52*I52</f>
        <v>14</v>
      </c>
    </row>
    <row r="53" customFormat="false" ht="15" hidden="false" customHeight="false" outlineLevel="0" collapsed="false">
      <c r="J53" s="53" t="n">
        <f aca="false">SUM(J48:J52)</f>
        <v>45.61</v>
      </c>
    </row>
    <row r="54" customFormat="false" ht="15" hidden="false" customHeight="false" outlineLevel="0" collapsed="false">
      <c r="B54" s="54" t="s">
        <v>310</v>
      </c>
    </row>
    <row r="55" customFormat="false" ht="15" hidden="false" customHeight="false" outlineLevel="0" collapsed="false">
      <c r="B55" s="1" t="s">
        <v>311</v>
      </c>
      <c r="F55" s="55" t="s">
        <v>312</v>
      </c>
      <c r="H55" s="57" t="n">
        <v>3</v>
      </c>
      <c r="I55" s="28" t="n">
        <f aca="false">J46</f>
        <v>48.77</v>
      </c>
      <c r="J55" s="28" t="n">
        <f aca="false">H55%*I55</f>
        <v>1.4631</v>
      </c>
    </row>
    <row r="56" customFormat="false" ht="15" hidden="false" customHeight="false" outlineLevel="0" collapsed="false">
      <c r="A56" s="60"/>
      <c r="B56" s="60"/>
      <c r="C56" s="60"/>
      <c r="D56" s="60"/>
      <c r="E56" s="60"/>
      <c r="F56" s="60"/>
      <c r="G56" s="60"/>
      <c r="H56" s="60"/>
      <c r="I56" s="80"/>
      <c r="J56" s="61" t="n">
        <f aca="false">SUM(J55)</f>
        <v>1.4631</v>
      </c>
    </row>
    <row r="58" customFormat="false" ht="15" hidden="false" customHeight="false" outlineLevel="0" collapsed="false">
      <c r="A58" s="14" t="s">
        <v>278</v>
      </c>
      <c r="B58" s="14" t="str">
        <f aca="false">COMUNICACIONES!A7</f>
        <v>06.01.04</v>
      </c>
      <c r="C58" s="14" t="s">
        <v>1109</v>
      </c>
      <c r="D58" s="14"/>
    </row>
    <row r="59" customFormat="false" ht="15" hidden="false" customHeight="false" outlineLevel="0" collapsed="false">
      <c r="A59" s="14" t="s">
        <v>279</v>
      </c>
      <c r="B59" s="14" t="s">
        <v>314</v>
      </c>
      <c r="C59" s="36" t="s">
        <v>281</v>
      </c>
      <c r="D59" s="52" t="n">
        <v>30</v>
      </c>
      <c r="E59" s="36" t="s">
        <v>282</v>
      </c>
      <c r="F59" s="52" t="n">
        <f aca="false">D59</f>
        <v>30</v>
      </c>
      <c r="G59" s="14" t="s">
        <v>283</v>
      </c>
      <c r="I59" s="36" t="s">
        <v>145</v>
      </c>
      <c r="J59" s="53" t="n">
        <f aca="false">J65+J71+J74</f>
        <v>26.403334</v>
      </c>
    </row>
    <row r="60" customFormat="false" ht="15" hidden="false" customHeight="false" outlineLevel="0" collapsed="false">
      <c r="A60" s="14" t="s">
        <v>284</v>
      </c>
      <c r="B60" s="14" t="s">
        <v>285</v>
      </c>
      <c r="F60" s="36" t="s">
        <v>123</v>
      </c>
      <c r="G60" s="36" t="s">
        <v>286</v>
      </c>
      <c r="H60" s="36" t="s">
        <v>287</v>
      </c>
      <c r="I60" s="36" t="s">
        <v>288</v>
      </c>
      <c r="J60" s="36" t="s">
        <v>289</v>
      </c>
    </row>
    <row r="61" customFormat="false" ht="15" hidden="false" customHeight="false" outlineLevel="0" collapsed="false">
      <c r="B61" s="54" t="s">
        <v>290</v>
      </c>
    </row>
    <row r="62" customFormat="false" ht="15" hidden="false" customHeight="false" outlineLevel="0" collapsed="false">
      <c r="B62" s="1" t="s">
        <v>651</v>
      </c>
      <c r="F62" s="55" t="s">
        <v>292</v>
      </c>
      <c r="G62" s="56" t="n">
        <v>0.1</v>
      </c>
      <c r="H62" s="57" t="n">
        <f aca="false">G62*8/$D$59</f>
        <v>0.0266666666666667</v>
      </c>
      <c r="I62" s="1" t="n">
        <v>34.73</v>
      </c>
      <c r="J62" s="28" t="n">
        <f aca="false">H62*I62</f>
        <v>0.926133333333333</v>
      </c>
    </row>
    <row r="63" customFormat="false" ht="15" hidden="false" customHeight="false" outlineLevel="0" collapsed="false">
      <c r="B63" s="1" t="s">
        <v>291</v>
      </c>
      <c r="F63" s="55" t="s">
        <v>292</v>
      </c>
      <c r="G63" s="56" t="n">
        <v>1</v>
      </c>
      <c r="H63" s="57" t="n">
        <f aca="false">G63*8/$D$59</f>
        <v>0.266666666666667</v>
      </c>
      <c r="I63" s="28" t="n">
        <v>28.94</v>
      </c>
      <c r="J63" s="28" t="n">
        <f aca="false">H63*I63</f>
        <v>7.71733333333333</v>
      </c>
    </row>
    <row r="64" customFormat="false" ht="15" hidden="false" customHeight="false" outlineLevel="0" collapsed="false">
      <c r="B64" s="1" t="s">
        <v>294</v>
      </c>
      <c r="F64" s="55" t="s">
        <v>292</v>
      </c>
      <c r="G64" s="56" t="n">
        <v>1</v>
      </c>
      <c r="H64" s="57" t="n">
        <f aca="false">G64*8/$D$59</f>
        <v>0.266666666666667</v>
      </c>
      <c r="I64" s="1" t="n">
        <v>20.51</v>
      </c>
      <c r="J64" s="28" t="n">
        <f aca="false">H64*I64</f>
        <v>5.46933333333333</v>
      </c>
    </row>
    <row r="65" customFormat="false" ht="15" hidden="false" customHeight="false" outlineLevel="0" collapsed="false">
      <c r="F65" s="55"/>
      <c r="G65" s="56"/>
      <c r="H65" s="57"/>
      <c r="J65" s="53" t="n">
        <f aca="false">SUM(J62:J64)</f>
        <v>14.1128</v>
      </c>
    </row>
    <row r="66" customFormat="false" ht="15" hidden="false" customHeight="false" outlineLevel="0" collapsed="false">
      <c r="B66" s="54" t="s">
        <v>654</v>
      </c>
      <c r="F66" s="55"/>
      <c r="G66" s="56"/>
      <c r="H66" s="57"/>
      <c r="I66" s="57"/>
      <c r="J66" s="28"/>
    </row>
    <row r="67" customFormat="false" ht="15" hidden="false" customHeight="false" outlineLevel="0" collapsed="false">
      <c r="B67" s="1" t="s">
        <v>1182</v>
      </c>
      <c r="F67" s="55" t="s">
        <v>145</v>
      </c>
      <c r="G67" s="56"/>
      <c r="H67" s="57" t="n">
        <v>1.05</v>
      </c>
      <c r="I67" s="1" t="n">
        <v>7.1</v>
      </c>
      <c r="J67" s="28" t="n">
        <f aca="false">H67*I67</f>
        <v>7.455</v>
      </c>
    </row>
    <row r="68" customFormat="false" ht="15" hidden="false" customHeight="false" outlineLevel="0" collapsed="false">
      <c r="B68" s="1" t="s">
        <v>1183</v>
      </c>
      <c r="F68" s="55" t="s">
        <v>150</v>
      </c>
      <c r="G68" s="56"/>
      <c r="H68" s="57" t="n">
        <v>0.25</v>
      </c>
      <c r="I68" s="1" t="n">
        <v>11.58</v>
      </c>
      <c r="J68" s="28" t="n">
        <f aca="false">H68*I68</f>
        <v>2.895</v>
      </c>
    </row>
    <row r="69" customFormat="false" ht="15" hidden="false" customHeight="false" outlineLevel="0" collapsed="false">
      <c r="B69" s="1" t="s">
        <v>1184</v>
      </c>
      <c r="F69" s="55" t="s">
        <v>440</v>
      </c>
      <c r="G69" s="56"/>
      <c r="H69" s="57" t="n">
        <v>0.005</v>
      </c>
      <c r="I69" s="1" t="n">
        <v>133.93</v>
      </c>
      <c r="J69" s="28" t="n">
        <f aca="false">H69*I69</f>
        <v>0.66965</v>
      </c>
    </row>
    <row r="70" customFormat="false" ht="15" hidden="false" customHeight="false" outlineLevel="0" collapsed="false">
      <c r="B70" s="1" t="s">
        <v>1185</v>
      </c>
      <c r="F70" s="55" t="s">
        <v>150</v>
      </c>
      <c r="G70" s="56"/>
      <c r="H70" s="57" t="n">
        <v>0.25</v>
      </c>
      <c r="I70" s="1" t="n">
        <v>3.39</v>
      </c>
      <c r="J70" s="28" t="n">
        <f aca="false">H70*I70</f>
        <v>0.8475</v>
      </c>
    </row>
    <row r="71" customFormat="false" ht="15" hidden="false" customHeight="false" outlineLevel="0" collapsed="false">
      <c r="J71" s="53" t="n">
        <f aca="false">SUM(J67:J70)</f>
        <v>11.86715</v>
      </c>
    </row>
    <row r="72" customFormat="false" ht="15" hidden="false" customHeight="false" outlineLevel="0" collapsed="false">
      <c r="B72" s="54" t="s">
        <v>310</v>
      </c>
    </row>
    <row r="73" customFormat="false" ht="15" hidden="false" customHeight="false" outlineLevel="0" collapsed="false">
      <c r="B73" s="1" t="s">
        <v>311</v>
      </c>
      <c r="F73" s="55" t="s">
        <v>312</v>
      </c>
      <c r="H73" s="57" t="n">
        <v>3</v>
      </c>
      <c r="I73" s="28" t="n">
        <f aca="false">J65</f>
        <v>14.1128</v>
      </c>
      <c r="J73" s="28" t="n">
        <f aca="false">H73%*I73</f>
        <v>0.423384</v>
      </c>
    </row>
    <row r="74" customFormat="false" ht="15" hidden="false" customHeight="false" outlineLevel="0" collapsed="false">
      <c r="A74" s="60"/>
      <c r="B74" s="60"/>
      <c r="C74" s="60"/>
      <c r="D74" s="60"/>
      <c r="E74" s="60"/>
      <c r="F74" s="60"/>
      <c r="G74" s="60"/>
      <c r="H74" s="60"/>
      <c r="I74" s="80"/>
      <c r="J74" s="61" t="n">
        <f aca="false">SUM(J73)</f>
        <v>0.423384</v>
      </c>
    </row>
    <row r="76" customFormat="false" ht="15" hidden="false" customHeight="false" outlineLevel="0" collapsed="false">
      <c r="A76" s="14" t="s">
        <v>278</v>
      </c>
      <c r="B76" s="14" t="str">
        <f aca="false">COMUNICACIONES!A8</f>
        <v>06.01.05</v>
      </c>
      <c r="C76" s="14" t="s">
        <v>1111</v>
      </c>
      <c r="D76" s="14"/>
    </row>
    <row r="77" customFormat="false" ht="15" hidden="false" customHeight="false" outlineLevel="0" collapsed="false">
      <c r="A77" s="14" t="s">
        <v>279</v>
      </c>
      <c r="B77" s="14" t="s">
        <v>314</v>
      </c>
      <c r="C77" s="36" t="s">
        <v>281</v>
      </c>
      <c r="D77" s="52" t="n">
        <v>30</v>
      </c>
      <c r="E77" s="36" t="s">
        <v>282</v>
      </c>
      <c r="F77" s="52" t="n">
        <f aca="false">D77</f>
        <v>30</v>
      </c>
      <c r="G77" s="14" t="s">
        <v>283</v>
      </c>
      <c r="I77" s="36" t="s">
        <v>145</v>
      </c>
      <c r="J77" s="53" t="n">
        <f aca="false">J83+J89+J92</f>
        <v>25.004334</v>
      </c>
    </row>
    <row r="78" customFormat="false" ht="15" hidden="false" customHeight="false" outlineLevel="0" collapsed="false">
      <c r="A78" s="14" t="s">
        <v>284</v>
      </c>
      <c r="B78" s="14" t="s">
        <v>285</v>
      </c>
      <c r="F78" s="36" t="s">
        <v>123</v>
      </c>
      <c r="G78" s="36" t="s">
        <v>286</v>
      </c>
      <c r="H78" s="36" t="s">
        <v>287</v>
      </c>
      <c r="I78" s="36" t="s">
        <v>288</v>
      </c>
      <c r="J78" s="36" t="s">
        <v>289</v>
      </c>
    </row>
    <row r="79" customFormat="false" ht="15" hidden="false" customHeight="false" outlineLevel="0" collapsed="false">
      <c r="B79" s="54" t="s">
        <v>290</v>
      </c>
    </row>
    <row r="80" customFormat="false" ht="15" hidden="false" customHeight="false" outlineLevel="0" collapsed="false">
      <c r="B80" s="1" t="s">
        <v>651</v>
      </c>
      <c r="F80" s="55" t="s">
        <v>292</v>
      </c>
      <c r="G80" s="56" t="n">
        <v>0.1</v>
      </c>
      <c r="H80" s="57" t="n">
        <f aca="false">G80*8/$D$77</f>
        <v>0.0266666666666667</v>
      </c>
      <c r="I80" s="1" t="n">
        <v>34.73</v>
      </c>
      <c r="J80" s="28" t="n">
        <f aca="false">H80*I80</f>
        <v>0.926133333333333</v>
      </c>
    </row>
    <row r="81" customFormat="false" ht="15" hidden="false" customHeight="false" outlineLevel="0" collapsed="false">
      <c r="B81" s="1" t="s">
        <v>291</v>
      </c>
      <c r="F81" s="55" t="s">
        <v>292</v>
      </c>
      <c r="G81" s="56" t="n">
        <v>1</v>
      </c>
      <c r="H81" s="57" t="n">
        <f aca="false">G81*8/$D$77</f>
        <v>0.266666666666667</v>
      </c>
      <c r="I81" s="28" t="n">
        <v>28.94</v>
      </c>
      <c r="J81" s="28" t="n">
        <f aca="false">H81*I81</f>
        <v>7.71733333333333</v>
      </c>
    </row>
    <row r="82" customFormat="false" ht="15" hidden="false" customHeight="false" outlineLevel="0" collapsed="false">
      <c r="B82" s="1" t="s">
        <v>294</v>
      </c>
      <c r="F82" s="55" t="s">
        <v>292</v>
      </c>
      <c r="G82" s="56" t="n">
        <v>1</v>
      </c>
      <c r="H82" s="57" t="n">
        <f aca="false">G82*8/$D$77</f>
        <v>0.266666666666667</v>
      </c>
      <c r="I82" s="1" t="n">
        <v>20.51</v>
      </c>
      <c r="J82" s="28" t="n">
        <f aca="false">H82*I82</f>
        <v>5.46933333333333</v>
      </c>
      <c r="N82" s="14"/>
    </row>
    <row r="83" customFormat="false" ht="15" hidden="false" customHeight="false" outlineLevel="0" collapsed="false">
      <c r="F83" s="55"/>
      <c r="G83" s="56"/>
      <c r="H83" s="57"/>
      <c r="J83" s="53" t="n">
        <f aca="false">SUM(J80:J82)</f>
        <v>14.1128</v>
      </c>
      <c r="N83" s="14"/>
    </row>
    <row r="84" customFormat="false" ht="15" hidden="false" customHeight="false" outlineLevel="0" collapsed="false">
      <c r="B84" s="54" t="s">
        <v>654</v>
      </c>
      <c r="F84" s="55"/>
      <c r="G84" s="56"/>
      <c r="H84" s="57"/>
      <c r="I84" s="57"/>
      <c r="J84" s="28"/>
      <c r="N84" s="14"/>
    </row>
    <row r="85" customFormat="false" ht="15" hidden="false" customHeight="false" outlineLevel="0" collapsed="false">
      <c r="B85" s="1" t="s">
        <v>1186</v>
      </c>
      <c r="F85" s="55" t="s">
        <v>150</v>
      </c>
      <c r="G85" s="56"/>
      <c r="H85" s="57" t="n">
        <v>0.25</v>
      </c>
      <c r="I85" s="1" t="n">
        <v>8.39</v>
      </c>
      <c r="J85" s="28" t="n">
        <f aca="false">H85*I85</f>
        <v>2.0975</v>
      </c>
    </row>
    <row r="86" customFormat="false" ht="15" hidden="false" customHeight="false" outlineLevel="0" collapsed="false">
      <c r="B86" s="1" t="s">
        <v>1187</v>
      </c>
      <c r="F86" s="55" t="s">
        <v>145</v>
      </c>
      <c r="G86" s="56"/>
      <c r="H86" s="57" t="n">
        <v>1.05</v>
      </c>
      <c r="I86" s="1" t="n">
        <v>6.77</v>
      </c>
      <c r="J86" s="28" t="n">
        <f aca="false">H86*I86</f>
        <v>7.1085</v>
      </c>
    </row>
    <row r="87" customFormat="false" ht="15" hidden="false" customHeight="false" outlineLevel="0" collapsed="false">
      <c r="B87" s="1" t="s">
        <v>1184</v>
      </c>
      <c r="F87" s="55" t="s">
        <v>440</v>
      </c>
      <c r="G87" s="56"/>
      <c r="H87" s="57" t="n">
        <v>0.005</v>
      </c>
      <c r="I87" s="1" t="n">
        <v>133.93</v>
      </c>
      <c r="J87" s="28" t="n">
        <f aca="false">H87*I87</f>
        <v>0.66965</v>
      </c>
    </row>
    <row r="88" customFormat="false" ht="15" hidden="false" customHeight="false" outlineLevel="0" collapsed="false">
      <c r="B88" s="1" t="s">
        <v>1188</v>
      </c>
      <c r="F88" s="55" t="s">
        <v>150</v>
      </c>
      <c r="G88" s="56"/>
      <c r="H88" s="57" t="n">
        <v>0.25</v>
      </c>
      <c r="I88" s="1" t="n">
        <v>2.37</v>
      </c>
      <c r="J88" s="28" t="n">
        <f aca="false">H88*I88</f>
        <v>0.5925</v>
      </c>
    </row>
    <row r="89" customFormat="false" ht="15" hidden="false" customHeight="false" outlineLevel="0" collapsed="false">
      <c r="J89" s="53" t="n">
        <f aca="false">SUM(J85:J88)</f>
        <v>10.46815</v>
      </c>
    </row>
    <row r="90" customFormat="false" ht="15" hidden="false" customHeight="false" outlineLevel="0" collapsed="false">
      <c r="B90" s="54" t="s">
        <v>310</v>
      </c>
    </row>
    <row r="91" customFormat="false" ht="15" hidden="false" customHeight="false" outlineLevel="0" collapsed="false">
      <c r="B91" s="1" t="s">
        <v>311</v>
      </c>
      <c r="F91" s="55" t="s">
        <v>312</v>
      </c>
      <c r="H91" s="57" t="n">
        <v>3</v>
      </c>
      <c r="I91" s="28" t="n">
        <f aca="false">J83</f>
        <v>14.1128</v>
      </c>
      <c r="J91" s="28" t="n">
        <f aca="false">H91%*I91</f>
        <v>0.423384</v>
      </c>
    </row>
    <row r="92" customFormat="false" ht="15" hidden="false" customHeight="false" outlineLevel="0" collapsed="false">
      <c r="A92" s="60"/>
      <c r="B92" s="60"/>
      <c r="C92" s="60"/>
      <c r="D92" s="60"/>
      <c r="E92" s="60"/>
      <c r="F92" s="60"/>
      <c r="G92" s="60"/>
      <c r="H92" s="60"/>
      <c r="I92" s="80"/>
      <c r="J92" s="61" t="n">
        <f aca="false">SUM(J91)</f>
        <v>0.423384</v>
      </c>
    </row>
    <row r="94" customFormat="false" ht="15" hidden="false" customHeight="false" outlineLevel="0" collapsed="false">
      <c r="A94" s="14" t="s">
        <v>278</v>
      </c>
      <c r="B94" s="14" t="str">
        <f aca="false">COMUNICACIONES!A9</f>
        <v>06.01.06</v>
      </c>
      <c r="C94" s="14" t="s">
        <v>1113</v>
      </c>
      <c r="D94" s="14"/>
    </row>
    <row r="95" customFormat="false" ht="15" hidden="false" customHeight="false" outlineLevel="0" collapsed="false">
      <c r="A95" s="14" t="s">
        <v>279</v>
      </c>
      <c r="B95" s="14" t="s">
        <v>314</v>
      </c>
      <c r="C95" s="36" t="s">
        <v>281</v>
      </c>
      <c r="D95" s="52" t="n">
        <v>40</v>
      </c>
      <c r="E95" s="36" t="s">
        <v>282</v>
      </c>
      <c r="F95" s="52" t="n">
        <f aca="false">D95</f>
        <v>40</v>
      </c>
      <c r="G95" s="14" t="s">
        <v>283</v>
      </c>
      <c r="I95" s="36" t="s">
        <v>145</v>
      </c>
      <c r="J95" s="53" t="n">
        <f aca="false">J101+J107+J110</f>
        <v>19.232788</v>
      </c>
    </row>
    <row r="96" customFormat="false" ht="15" hidden="false" customHeight="false" outlineLevel="0" collapsed="false">
      <c r="A96" s="14" t="s">
        <v>284</v>
      </c>
      <c r="B96" s="14" t="s">
        <v>285</v>
      </c>
      <c r="F96" s="36" t="s">
        <v>123</v>
      </c>
      <c r="G96" s="36" t="s">
        <v>286</v>
      </c>
      <c r="H96" s="36" t="s">
        <v>287</v>
      </c>
      <c r="I96" s="36" t="s">
        <v>288</v>
      </c>
      <c r="J96" s="36" t="s">
        <v>289</v>
      </c>
    </row>
    <row r="97" customFormat="false" ht="15" hidden="false" customHeight="false" outlineLevel="0" collapsed="false">
      <c r="B97" s="54" t="s">
        <v>290</v>
      </c>
    </row>
    <row r="98" customFormat="false" ht="15" hidden="false" customHeight="false" outlineLevel="0" collapsed="false">
      <c r="B98" s="1" t="s">
        <v>651</v>
      </c>
      <c r="F98" s="55" t="s">
        <v>292</v>
      </c>
      <c r="G98" s="56" t="n">
        <v>0.1</v>
      </c>
      <c r="H98" s="57" t="n">
        <f aca="false">G98*8/$D$95</f>
        <v>0.02</v>
      </c>
      <c r="I98" s="1" t="n">
        <v>34.73</v>
      </c>
      <c r="J98" s="28" t="n">
        <f aca="false">H98*I98</f>
        <v>0.6946</v>
      </c>
    </row>
    <row r="99" customFormat="false" ht="15" hidden="false" customHeight="false" outlineLevel="0" collapsed="false">
      <c r="B99" s="1" t="s">
        <v>291</v>
      </c>
      <c r="F99" s="55" t="s">
        <v>292</v>
      </c>
      <c r="G99" s="56" t="n">
        <v>1</v>
      </c>
      <c r="H99" s="57" t="n">
        <f aca="false">G99*8/$D$95</f>
        <v>0.2</v>
      </c>
      <c r="I99" s="28" t="n">
        <v>28.94</v>
      </c>
      <c r="J99" s="28" t="n">
        <f aca="false">H99*I99</f>
        <v>5.788</v>
      </c>
    </row>
    <row r="100" customFormat="false" ht="15" hidden="false" customHeight="false" outlineLevel="0" collapsed="false">
      <c r="B100" s="1" t="s">
        <v>294</v>
      </c>
      <c r="F100" s="55" t="s">
        <v>292</v>
      </c>
      <c r="G100" s="56" t="n">
        <v>1</v>
      </c>
      <c r="H100" s="57" t="n">
        <f aca="false">G100*8/$D$95</f>
        <v>0.2</v>
      </c>
      <c r="I100" s="1" t="n">
        <v>20.51</v>
      </c>
      <c r="J100" s="28" t="n">
        <f aca="false">H100*I100</f>
        <v>4.102</v>
      </c>
    </row>
    <row r="101" customFormat="false" ht="15" hidden="false" customHeight="false" outlineLevel="0" collapsed="false">
      <c r="F101" s="55"/>
      <c r="G101" s="56"/>
      <c r="H101" s="57"/>
      <c r="J101" s="53" t="n">
        <f aca="false">SUM(J98:J100)</f>
        <v>10.5846</v>
      </c>
    </row>
    <row r="102" customFormat="false" ht="15" hidden="false" customHeight="false" outlineLevel="0" collapsed="false">
      <c r="B102" s="54" t="s">
        <v>654</v>
      </c>
      <c r="F102" s="55"/>
      <c r="G102" s="56"/>
      <c r="H102" s="57"/>
      <c r="I102" s="57"/>
      <c r="J102" s="28"/>
    </row>
    <row r="103" customFormat="false" ht="15" hidden="false" customHeight="false" outlineLevel="0" collapsed="false">
      <c r="B103" s="1" t="s">
        <v>1189</v>
      </c>
      <c r="F103" s="55" t="s">
        <v>145</v>
      </c>
      <c r="G103" s="56"/>
      <c r="H103" s="57" t="n">
        <v>1.05</v>
      </c>
      <c r="I103" s="1" t="n">
        <v>6.47</v>
      </c>
      <c r="J103" s="28" t="n">
        <f aca="false">H103*I103</f>
        <v>6.7935</v>
      </c>
    </row>
    <row r="104" customFormat="false" ht="15" hidden="false" customHeight="false" outlineLevel="0" collapsed="false">
      <c r="B104" s="1" t="s">
        <v>1190</v>
      </c>
      <c r="F104" s="55" t="s">
        <v>150</v>
      </c>
      <c r="G104" s="56"/>
      <c r="H104" s="57" t="n">
        <v>0.25</v>
      </c>
      <c r="I104" s="1" t="n">
        <v>2.54</v>
      </c>
      <c r="J104" s="28" t="n">
        <f aca="false">H104*I104</f>
        <v>0.635</v>
      </c>
    </row>
    <row r="105" customFormat="false" ht="15" hidden="false" customHeight="false" outlineLevel="0" collapsed="false">
      <c r="B105" s="1" t="s">
        <v>1184</v>
      </c>
      <c r="F105" s="55" t="s">
        <v>440</v>
      </c>
      <c r="G105" s="56"/>
      <c r="H105" s="57" t="n">
        <v>0.005</v>
      </c>
      <c r="I105" s="1" t="n">
        <v>133.93</v>
      </c>
      <c r="J105" s="28" t="n">
        <f aca="false">H105*I105</f>
        <v>0.66965</v>
      </c>
    </row>
    <row r="106" customFormat="false" ht="15" hidden="false" customHeight="false" outlineLevel="0" collapsed="false">
      <c r="B106" s="1" t="s">
        <v>1177</v>
      </c>
      <c r="F106" s="55" t="s">
        <v>150</v>
      </c>
      <c r="G106" s="56"/>
      <c r="H106" s="57" t="n">
        <v>0.25</v>
      </c>
      <c r="I106" s="1" t="n">
        <v>0.93</v>
      </c>
      <c r="J106" s="28" t="n">
        <f aca="false">H106*I106</f>
        <v>0.2325</v>
      </c>
    </row>
    <row r="107" customFormat="false" ht="15" hidden="false" customHeight="false" outlineLevel="0" collapsed="false">
      <c r="J107" s="53" t="n">
        <f aca="false">SUM(J103:J106)</f>
        <v>8.33065</v>
      </c>
    </row>
    <row r="108" customFormat="false" ht="15" hidden="false" customHeight="false" outlineLevel="0" collapsed="false">
      <c r="B108" s="54" t="s">
        <v>310</v>
      </c>
    </row>
    <row r="109" customFormat="false" ht="15" hidden="false" customHeight="false" outlineLevel="0" collapsed="false">
      <c r="B109" s="1" t="s">
        <v>311</v>
      </c>
      <c r="F109" s="55" t="s">
        <v>312</v>
      </c>
      <c r="H109" s="57" t="n">
        <v>3</v>
      </c>
      <c r="I109" s="28" t="n">
        <f aca="false">J101</f>
        <v>10.5846</v>
      </c>
      <c r="J109" s="28" t="n">
        <f aca="false">H109%*I109</f>
        <v>0.317538</v>
      </c>
    </row>
    <row r="110" customFormat="false" ht="15" hidden="false" customHeight="false" outlineLevel="0" collapsed="false">
      <c r="A110" s="60"/>
      <c r="B110" s="60"/>
      <c r="C110" s="60"/>
      <c r="D110" s="60"/>
      <c r="E110" s="60"/>
      <c r="F110" s="60"/>
      <c r="G110" s="60"/>
      <c r="H110" s="60"/>
      <c r="I110" s="80"/>
      <c r="J110" s="61" t="n">
        <f aca="false">SUM(J109)</f>
        <v>0.317538</v>
      </c>
    </row>
    <row r="112" customFormat="false" ht="15" hidden="false" customHeight="false" outlineLevel="0" collapsed="false">
      <c r="A112" s="14" t="s">
        <v>278</v>
      </c>
      <c r="B112" s="14" t="str">
        <f aca="false">COMUNICACIONES!A10</f>
        <v>06.01.07</v>
      </c>
      <c r="C112" s="14" t="s">
        <v>1115</v>
      </c>
      <c r="D112" s="14"/>
    </row>
    <row r="113" customFormat="false" ht="15" hidden="false" customHeight="false" outlineLevel="0" collapsed="false">
      <c r="A113" s="14" t="s">
        <v>279</v>
      </c>
      <c r="B113" s="14" t="s">
        <v>314</v>
      </c>
      <c r="C113" s="36" t="s">
        <v>281</v>
      </c>
      <c r="D113" s="52" t="n">
        <v>40</v>
      </c>
      <c r="E113" s="36" t="s">
        <v>282</v>
      </c>
      <c r="F113" s="52" t="n">
        <f aca="false">D113</f>
        <v>40</v>
      </c>
      <c r="G113" s="14" t="s">
        <v>283</v>
      </c>
      <c r="I113" s="36" t="s">
        <v>145</v>
      </c>
      <c r="J113" s="53" t="n">
        <f aca="false">J119+J125+J128</f>
        <v>16.371788</v>
      </c>
    </row>
    <row r="114" customFormat="false" ht="15" hidden="false" customHeight="false" outlineLevel="0" collapsed="false">
      <c r="A114" s="14" t="s">
        <v>284</v>
      </c>
      <c r="B114" s="14" t="s">
        <v>285</v>
      </c>
      <c r="F114" s="36" t="s">
        <v>123</v>
      </c>
      <c r="G114" s="36" t="s">
        <v>286</v>
      </c>
      <c r="H114" s="36" t="s">
        <v>287</v>
      </c>
      <c r="I114" s="36" t="s">
        <v>288</v>
      </c>
      <c r="J114" s="36" t="s">
        <v>289</v>
      </c>
    </row>
    <row r="115" customFormat="false" ht="15" hidden="false" customHeight="false" outlineLevel="0" collapsed="false">
      <c r="B115" s="54" t="s">
        <v>290</v>
      </c>
    </row>
    <row r="116" customFormat="false" ht="15" hidden="false" customHeight="false" outlineLevel="0" collapsed="false">
      <c r="B116" s="1" t="s">
        <v>651</v>
      </c>
      <c r="F116" s="55" t="s">
        <v>292</v>
      </c>
      <c r="G116" s="56" t="n">
        <v>0.1</v>
      </c>
      <c r="H116" s="57" t="n">
        <f aca="false">G116*8/$D$113</f>
        <v>0.02</v>
      </c>
      <c r="I116" s="1" t="n">
        <v>34.73</v>
      </c>
      <c r="J116" s="28" t="n">
        <f aca="false">H116*I116</f>
        <v>0.6946</v>
      </c>
    </row>
    <row r="117" customFormat="false" ht="15" hidden="false" customHeight="false" outlineLevel="0" collapsed="false">
      <c r="B117" s="1" t="s">
        <v>291</v>
      </c>
      <c r="F117" s="55" t="s">
        <v>292</v>
      </c>
      <c r="G117" s="56" t="n">
        <v>1</v>
      </c>
      <c r="H117" s="57" t="n">
        <f aca="false">G117*8/$D$113</f>
        <v>0.2</v>
      </c>
      <c r="I117" s="28" t="n">
        <v>28.94</v>
      </c>
      <c r="J117" s="28" t="n">
        <f aca="false">H117*I117</f>
        <v>5.788</v>
      </c>
    </row>
    <row r="118" customFormat="false" ht="15" hidden="false" customHeight="false" outlineLevel="0" collapsed="false">
      <c r="B118" s="1" t="s">
        <v>294</v>
      </c>
      <c r="F118" s="55" t="s">
        <v>292</v>
      </c>
      <c r="G118" s="56" t="n">
        <v>1</v>
      </c>
      <c r="H118" s="57" t="n">
        <f aca="false">G118*8/$D$113</f>
        <v>0.2</v>
      </c>
      <c r="I118" s="1" t="n">
        <v>20.51</v>
      </c>
      <c r="J118" s="28" t="n">
        <f aca="false">H118*I118</f>
        <v>4.102</v>
      </c>
    </row>
    <row r="119" customFormat="false" ht="15" hidden="false" customHeight="false" outlineLevel="0" collapsed="false">
      <c r="F119" s="55"/>
      <c r="G119" s="56"/>
      <c r="H119" s="57"/>
      <c r="J119" s="53" t="n">
        <f aca="false">SUM(J116:J118)</f>
        <v>10.5846</v>
      </c>
    </row>
    <row r="120" customFormat="false" ht="15" hidden="false" customHeight="false" outlineLevel="0" collapsed="false">
      <c r="B120" s="54" t="s">
        <v>654</v>
      </c>
      <c r="F120" s="55"/>
      <c r="G120" s="56"/>
      <c r="H120" s="57"/>
      <c r="I120" s="57"/>
      <c r="J120" s="28"/>
    </row>
    <row r="121" customFormat="false" ht="15" hidden="false" customHeight="false" outlineLevel="0" collapsed="false">
      <c r="B121" s="1" t="s">
        <v>1191</v>
      </c>
      <c r="F121" s="55" t="s">
        <v>145</v>
      </c>
      <c r="G121" s="56"/>
      <c r="H121" s="57" t="n">
        <v>1.05</v>
      </c>
      <c r="I121" s="1" t="n">
        <v>3.5</v>
      </c>
      <c r="J121" s="28" t="n">
        <f aca="false">H121*I121</f>
        <v>3.675</v>
      </c>
    </row>
    <row r="122" customFormat="false" ht="15" hidden="false" customHeight="false" outlineLevel="0" collapsed="false">
      <c r="B122" s="1" t="s">
        <v>1192</v>
      </c>
      <c r="F122" s="55" t="s">
        <v>150</v>
      </c>
      <c r="G122" s="56"/>
      <c r="H122" s="57" t="n">
        <v>0.25</v>
      </c>
      <c r="I122" s="1" t="n">
        <v>2.25</v>
      </c>
      <c r="J122" s="28" t="n">
        <f aca="false">H122*I122</f>
        <v>0.5625</v>
      </c>
    </row>
    <row r="123" customFormat="false" ht="15" hidden="false" customHeight="false" outlineLevel="0" collapsed="false">
      <c r="B123" s="1" t="s">
        <v>1184</v>
      </c>
      <c r="F123" s="55" t="s">
        <v>440</v>
      </c>
      <c r="G123" s="56"/>
      <c r="H123" s="57" t="n">
        <v>0.005</v>
      </c>
      <c r="I123" s="1" t="n">
        <v>133.93</v>
      </c>
      <c r="J123" s="28" t="n">
        <f aca="false">H123*I123</f>
        <v>0.66965</v>
      </c>
    </row>
    <row r="124" customFormat="false" ht="15" hidden="false" customHeight="false" outlineLevel="0" collapsed="false">
      <c r="B124" s="1" t="s">
        <v>1193</v>
      </c>
      <c r="F124" s="55" t="s">
        <v>150</v>
      </c>
      <c r="G124" s="56"/>
      <c r="H124" s="57" t="n">
        <v>0.25</v>
      </c>
      <c r="I124" s="1" t="n">
        <v>2.25</v>
      </c>
      <c r="J124" s="28" t="n">
        <f aca="false">H124*I124</f>
        <v>0.5625</v>
      </c>
    </row>
    <row r="125" customFormat="false" ht="15" hidden="false" customHeight="false" outlineLevel="0" collapsed="false">
      <c r="J125" s="53" t="n">
        <f aca="false">SUM(J121:J124)</f>
        <v>5.46965</v>
      </c>
    </row>
    <row r="126" customFormat="false" ht="15" hidden="false" customHeight="false" outlineLevel="0" collapsed="false">
      <c r="B126" s="54" t="s">
        <v>310</v>
      </c>
    </row>
    <row r="127" customFormat="false" ht="15" hidden="false" customHeight="false" outlineLevel="0" collapsed="false">
      <c r="B127" s="1" t="s">
        <v>311</v>
      </c>
      <c r="F127" s="55" t="s">
        <v>312</v>
      </c>
      <c r="H127" s="57" t="n">
        <v>3</v>
      </c>
      <c r="I127" s="28" t="n">
        <f aca="false">J119</f>
        <v>10.5846</v>
      </c>
      <c r="J127" s="28" t="n">
        <f aca="false">H127%*I127</f>
        <v>0.317538</v>
      </c>
    </row>
    <row r="128" customFormat="false" ht="15" hidden="false" customHeight="false" outlineLevel="0" collapsed="false">
      <c r="A128" s="60"/>
      <c r="B128" s="60"/>
      <c r="C128" s="60"/>
      <c r="D128" s="60"/>
      <c r="E128" s="60"/>
      <c r="F128" s="60"/>
      <c r="G128" s="60"/>
      <c r="H128" s="60"/>
      <c r="I128" s="80"/>
      <c r="J128" s="61" t="n">
        <f aca="false">SUM(J127)</f>
        <v>0.317538</v>
      </c>
    </row>
    <row r="130" customFormat="false" ht="15" hidden="false" customHeight="false" outlineLevel="0" collapsed="false">
      <c r="A130" s="14" t="s">
        <v>278</v>
      </c>
      <c r="B130" s="14" t="str">
        <f aca="false">COMUNICACIONES!A11</f>
        <v>06.01.08</v>
      </c>
      <c r="C130" s="14" t="s">
        <v>1117</v>
      </c>
      <c r="D130" s="14"/>
    </row>
    <row r="131" customFormat="false" ht="15" hidden="false" customHeight="false" outlineLevel="0" collapsed="false">
      <c r="A131" s="14" t="s">
        <v>279</v>
      </c>
      <c r="B131" s="14" t="s">
        <v>326</v>
      </c>
      <c r="C131" s="36" t="s">
        <v>281</v>
      </c>
      <c r="D131" s="52" t="n">
        <v>10</v>
      </c>
      <c r="E131" s="36" t="s">
        <v>282</v>
      </c>
      <c r="F131" s="52" t="n">
        <f aca="false">D131</f>
        <v>10</v>
      </c>
      <c r="G131" s="14" t="s">
        <v>283</v>
      </c>
      <c r="I131" s="36" t="s">
        <v>150</v>
      </c>
      <c r="J131" s="53" t="n">
        <f aca="false">J137+J140+J143</f>
        <v>62.670152</v>
      </c>
    </row>
    <row r="132" customFormat="false" ht="15" hidden="false" customHeight="false" outlineLevel="0" collapsed="false">
      <c r="A132" s="14" t="s">
        <v>284</v>
      </c>
      <c r="B132" s="14" t="s">
        <v>285</v>
      </c>
      <c r="F132" s="36" t="s">
        <v>123</v>
      </c>
      <c r="G132" s="36" t="s">
        <v>286</v>
      </c>
      <c r="H132" s="36" t="s">
        <v>287</v>
      </c>
      <c r="I132" s="36" t="s">
        <v>288</v>
      </c>
      <c r="J132" s="36" t="s">
        <v>289</v>
      </c>
    </row>
    <row r="133" customFormat="false" ht="15" hidden="false" customHeight="false" outlineLevel="0" collapsed="false">
      <c r="B133" s="54" t="s">
        <v>290</v>
      </c>
    </row>
    <row r="134" customFormat="false" ht="15" hidden="false" customHeight="false" outlineLevel="0" collapsed="false">
      <c r="B134" s="1" t="s">
        <v>651</v>
      </c>
      <c r="F134" s="55" t="s">
        <v>292</v>
      </c>
      <c r="G134" s="56" t="n">
        <v>0.1</v>
      </c>
      <c r="H134" s="57" t="n">
        <f aca="false">G134*8/$D$131</f>
        <v>0.08</v>
      </c>
      <c r="I134" s="1" t="n">
        <v>34.73</v>
      </c>
      <c r="J134" s="28" t="n">
        <f aca="false">H134*I134</f>
        <v>2.7784</v>
      </c>
    </row>
    <row r="135" customFormat="false" ht="15" hidden="false" customHeight="false" outlineLevel="0" collapsed="false">
      <c r="B135" s="1" t="s">
        <v>291</v>
      </c>
      <c r="F135" s="55" t="s">
        <v>292</v>
      </c>
      <c r="G135" s="56" t="n">
        <v>1</v>
      </c>
      <c r="H135" s="57" t="n">
        <f aca="false">G135*8/$D$131</f>
        <v>0.8</v>
      </c>
      <c r="I135" s="28" t="n">
        <v>28.94</v>
      </c>
      <c r="J135" s="28" t="n">
        <f aca="false">H135*I135</f>
        <v>23.152</v>
      </c>
    </row>
    <row r="136" customFormat="false" ht="15" hidden="false" customHeight="false" outlineLevel="0" collapsed="false">
      <c r="B136" s="1" t="s">
        <v>293</v>
      </c>
      <c r="F136" s="55" t="s">
        <v>292</v>
      </c>
      <c r="G136" s="56" t="n">
        <v>1</v>
      </c>
      <c r="H136" s="57" t="n">
        <f aca="false">G136*8/$D$131</f>
        <v>0.8</v>
      </c>
      <c r="I136" s="1" t="n">
        <v>22.66</v>
      </c>
      <c r="J136" s="28" t="n">
        <f aca="false">H136*I136</f>
        <v>18.128</v>
      </c>
    </row>
    <row r="137" customFormat="false" ht="15" hidden="false" customHeight="false" outlineLevel="0" collapsed="false">
      <c r="F137" s="55"/>
      <c r="G137" s="56"/>
      <c r="H137" s="57"/>
      <c r="J137" s="53" t="n">
        <f aca="false">SUM(J134:J136)</f>
        <v>44.0584</v>
      </c>
    </row>
    <row r="138" customFormat="false" ht="15" hidden="false" customHeight="false" outlineLevel="0" collapsed="false">
      <c r="B138" s="54" t="s">
        <v>654</v>
      </c>
      <c r="F138" s="55"/>
      <c r="G138" s="56"/>
      <c r="H138" s="57"/>
      <c r="I138" s="57"/>
      <c r="J138" s="28"/>
    </row>
    <row r="139" customFormat="false" ht="15" hidden="false" customHeight="false" outlineLevel="0" collapsed="false">
      <c r="B139" s="1" t="s">
        <v>1117</v>
      </c>
      <c r="F139" s="55" t="s">
        <v>150</v>
      </c>
      <c r="G139" s="56"/>
      <c r="H139" s="57" t="n">
        <v>1</v>
      </c>
      <c r="I139" s="1" t="n">
        <v>17.29</v>
      </c>
      <c r="J139" s="28" t="n">
        <f aca="false">H139*I139</f>
        <v>17.29</v>
      </c>
    </row>
    <row r="140" customFormat="false" ht="15" hidden="false" customHeight="false" outlineLevel="0" collapsed="false">
      <c r="J140" s="53" t="n">
        <f aca="false">SUM(J139:J139)</f>
        <v>17.29</v>
      </c>
    </row>
    <row r="141" customFormat="false" ht="15" hidden="false" customHeight="false" outlineLevel="0" collapsed="false">
      <c r="B141" s="54" t="s">
        <v>310</v>
      </c>
    </row>
    <row r="142" customFormat="false" ht="15" hidden="false" customHeight="false" outlineLevel="0" collapsed="false">
      <c r="B142" s="1" t="s">
        <v>311</v>
      </c>
      <c r="F142" s="55" t="s">
        <v>312</v>
      </c>
      <c r="H142" s="57" t="n">
        <v>3</v>
      </c>
      <c r="I142" s="28" t="n">
        <f aca="false">J137</f>
        <v>44.0584</v>
      </c>
      <c r="J142" s="28" t="n">
        <f aca="false">H142%*I142</f>
        <v>1.321752</v>
      </c>
    </row>
    <row r="143" customFormat="false" ht="15" hidden="false" customHeight="false" outlineLevel="0" collapsed="false">
      <c r="A143" s="60"/>
      <c r="B143" s="60"/>
      <c r="C143" s="60"/>
      <c r="D143" s="60"/>
      <c r="E143" s="60"/>
      <c r="F143" s="60"/>
      <c r="G143" s="60"/>
      <c r="H143" s="60"/>
      <c r="I143" s="80"/>
      <c r="J143" s="61" t="n">
        <f aca="false">SUM(J142)</f>
        <v>1.321752</v>
      </c>
    </row>
    <row r="145" customFormat="false" ht="15" hidden="false" customHeight="false" outlineLevel="0" collapsed="false">
      <c r="A145" s="14" t="s">
        <v>278</v>
      </c>
      <c r="B145" s="14" t="str">
        <f aca="false">COMUNICACIONES!A12</f>
        <v>06.01.09</v>
      </c>
      <c r="C145" s="14" t="s">
        <v>1119</v>
      </c>
      <c r="D145" s="14"/>
    </row>
    <row r="146" customFormat="false" ht="15" hidden="false" customHeight="false" outlineLevel="0" collapsed="false">
      <c r="A146" s="14" t="s">
        <v>279</v>
      </c>
      <c r="B146" s="14" t="s">
        <v>326</v>
      </c>
      <c r="C146" s="36" t="s">
        <v>281</v>
      </c>
      <c r="D146" s="52" t="n">
        <v>10</v>
      </c>
      <c r="E146" s="36" t="s">
        <v>282</v>
      </c>
      <c r="F146" s="52" t="n">
        <f aca="false">D146</f>
        <v>10</v>
      </c>
      <c r="G146" s="14" t="s">
        <v>283</v>
      </c>
      <c r="I146" s="36" t="s">
        <v>150</v>
      </c>
      <c r="J146" s="53" t="n">
        <f aca="false">J152+J155+J158</f>
        <v>58.850152</v>
      </c>
    </row>
    <row r="147" customFormat="false" ht="15" hidden="false" customHeight="false" outlineLevel="0" collapsed="false">
      <c r="A147" s="14" t="s">
        <v>284</v>
      </c>
      <c r="B147" s="14" t="s">
        <v>285</v>
      </c>
      <c r="F147" s="36" t="s">
        <v>123</v>
      </c>
      <c r="G147" s="36" t="s">
        <v>286</v>
      </c>
      <c r="H147" s="36" t="s">
        <v>287</v>
      </c>
      <c r="I147" s="36" t="s">
        <v>288</v>
      </c>
      <c r="J147" s="36" t="s">
        <v>289</v>
      </c>
    </row>
    <row r="148" customFormat="false" ht="15" hidden="false" customHeight="false" outlineLevel="0" collapsed="false">
      <c r="B148" s="54" t="s">
        <v>290</v>
      </c>
    </row>
    <row r="149" customFormat="false" ht="15" hidden="false" customHeight="false" outlineLevel="0" collapsed="false">
      <c r="B149" s="1" t="s">
        <v>651</v>
      </c>
      <c r="F149" s="55" t="s">
        <v>292</v>
      </c>
      <c r="G149" s="56" t="n">
        <v>0.1</v>
      </c>
      <c r="H149" s="57" t="n">
        <f aca="false">G149*8/$D$146</f>
        <v>0.08</v>
      </c>
      <c r="I149" s="1" t="n">
        <v>34.73</v>
      </c>
      <c r="J149" s="28" t="n">
        <f aca="false">H149*I149</f>
        <v>2.7784</v>
      </c>
    </row>
    <row r="150" customFormat="false" ht="15" hidden="false" customHeight="false" outlineLevel="0" collapsed="false">
      <c r="B150" s="1" t="s">
        <v>291</v>
      </c>
      <c r="F150" s="55" t="s">
        <v>292</v>
      </c>
      <c r="G150" s="56" t="n">
        <v>1</v>
      </c>
      <c r="H150" s="57" t="n">
        <f aca="false">G150*8/$D$146</f>
        <v>0.8</v>
      </c>
      <c r="I150" s="28" t="n">
        <v>28.94</v>
      </c>
      <c r="J150" s="28" t="n">
        <f aca="false">H150*I150</f>
        <v>23.152</v>
      </c>
    </row>
    <row r="151" customFormat="false" ht="15" hidden="false" customHeight="false" outlineLevel="0" collapsed="false">
      <c r="B151" s="1" t="s">
        <v>293</v>
      </c>
      <c r="F151" s="55" t="s">
        <v>292</v>
      </c>
      <c r="G151" s="56" t="n">
        <v>1</v>
      </c>
      <c r="H151" s="57" t="n">
        <f aca="false">G151*8/$D$146</f>
        <v>0.8</v>
      </c>
      <c r="I151" s="1" t="n">
        <v>22.66</v>
      </c>
      <c r="J151" s="28" t="n">
        <f aca="false">H151*I151</f>
        <v>18.128</v>
      </c>
    </row>
    <row r="152" customFormat="false" ht="15" hidden="false" customHeight="false" outlineLevel="0" collapsed="false">
      <c r="F152" s="55"/>
      <c r="G152" s="56"/>
      <c r="H152" s="57"/>
      <c r="J152" s="53" t="n">
        <f aca="false">SUM(J149:J151)</f>
        <v>44.0584</v>
      </c>
    </row>
    <row r="153" customFormat="false" ht="15" hidden="false" customHeight="false" outlineLevel="0" collapsed="false">
      <c r="B153" s="54" t="s">
        <v>654</v>
      </c>
      <c r="F153" s="55"/>
      <c r="G153" s="56"/>
      <c r="H153" s="57"/>
      <c r="I153" s="57"/>
      <c r="J153" s="28"/>
    </row>
    <row r="154" customFormat="false" ht="15" hidden="false" customHeight="false" outlineLevel="0" collapsed="false">
      <c r="B154" s="1" t="s">
        <v>1119</v>
      </c>
      <c r="F154" s="55" t="s">
        <v>150</v>
      </c>
      <c r="G154" s="56"/>
      <c r="H154" s="57" t="n">
        <v>1</v>
      </c>
      <c r="I154" s="1" t="n">
        <v>13.47</v>
      </c>
      <c r="J154" s="28" t="n">
        <f aca="false">H154*I154</f>
        <v>13.47</v>
      </c>
    </row>
    <row r="155" customFormat="false" ht="15" hidden="false" customHeight="false" outlineLevel="0" collapsed="false">
      <c r="J155" s="53" t="n">
        <f aca="false">SUM(J154:J154)</f>
        <v>13.47</v>
      </c>
    </row>
    <row r="156" customFormat="false" ht="15" hidden="false" customHeight="false" outlineLevel="0" collapsed="false">
      <c r="B156" s="54" t="s">
        <v>310</v>
      </c>
    </row>
    <row r="157" customFormat="false" ht="15" hidden="false" customHeight="false" outlineLevel="0" collapsed="false">
      <c r="B157" s="1" t="s">
        <v>311</v>
      </c>
      <c r="F157" s="55" t="s">
        <v>312</v>
      </c>
      <c r="H157" s="57" t="n">
        <v>3</v>
      </c>
      <c r="I157" s="28" t="n">
        <f aca="false">J152</f>
        <v>44.0584</v>
      </c>
      <c r="J157" s="28" t="n">
        <f aca="false">H157%*I157</f>
        <v>1.321752</v>
      </c>
    </row>
    <row r="158" customFormat="false" ht="15" hidden="false" customHeight="false" outlineLevel="0" collapsed="false">
      <c r="A158" s="60"/>
      <c r="B158" s="60"/>
      <c r="C158" s="60"/>
      <c r="D158" s="60"/>
      <c r="E158" s="60"/>
      <c r="F158" s="60"/>
      <c r="G158" s="60"/>
      <c r="H158" s="60"/>
      <c r="I158" s="80"/>
      <c r="J158" s="61" t="n">
        <f aca="false">SUM(J157)</f>
        <v>1.321752</v>
      </c>
    </row>
    <row r="159" customFormat="false" ht="15" hidden="false" customHeight="false" outlineLevel="0" collapsed="false">
      <c r="F159" s="55"/>
      <c r="G159" s="56"/>
      <c r="H159" s="57"/>
      <c r="J159" s="28"/>
    </row>
    <row r="160" customFormat="false" ht="15" hidden="false" customHeight="false" outlineLevel="0" collapsed="false">
      <c r="A160" s="14" t="s">
        <v>278</v>
      </c>
      <c r="B160" s="14" t="str">
        <f aca="false">COMUNICACIONES!A13</f>
        <v>06.01.10</v>
      </c>
      <c r="C160" s="14" t="s">
        <v>1121</v>
      </c>
      <c r="D160" s="14"/>
    </row>
    <row r="161" customFormat="false" ht="15" hidden="false" customHeight="false" outlineLevel="0" collapsed="false">
      <c r="A161" s="14" t="s">
        <v>279</v>
      </c>
      <c r="B161" s="14" t="s">
        <v>326</v>
      </c>
      <c r="C161" s="36" t="s">
        <v>281</v>
      </c>
      <c r="D161" s="52" t="n">
        <v>10</v>
      </c>
      <c r="E161" s="36" t="s">
        <v>282</v>
      </c>
      <c r="F161" s="52" t="n">
        <f aca="false">D161</f>
        <v>10</v>
      </c>
      <c r="G161" s="14" t="s">
        <v>283</v>
      </c>
      <c r="I161" s="36" t="s">
        <v>150</v>
      </c>
      <c r="J161" s="53" t="n">
        <f aca="false">J167+J170+J173</f>
        <v>57.880152</v>
      </c>
    </row>
    <row r="162" customFormat="false" ht="15" hidden="false" customHeight="false" outlineLevel="0" collapsed="false">
      <c r="A162" s="14" t="s">
        <v>284</v>
      </c>
      <c r="B162" s="14" t="s">
        <v>285</v>
      </c>
      <c r="F162" s="36" t="s">
        <v>123</v>
      </c>
      <c r="G162" s="36" t="s">
        <v>286</v>
      </c>
      <c r="H162" s="36" t="s">
        <v>287</v>
      </c>
      <c r="I162" s="36" t="s">
        <v>288</v>
      </c>
      <c r="J162" s="36" t="s">
        <v>289</v>
      </c>
    </row>
    <row r="163" customFormat="false" ht="15" hidden="false" customHeight="false" outlineLevel="0" collapsed="false">
      <c r="B163" s="54" t="s">
        <v>290</v>
      </c>
    </row>
    <row r="164" customFormat="false" ht="15" hidden="false" customHeight="false" outlineLevel="0" collapsed="false">
      <c r="B164" s="1" t="s">
        <v>651</v>
      </c>
      <c r="F164" s="55" t="s">
        <v>292</v>
      </c>
      <c r="G164" s="56" t="n">
        <v>0.1</v>
      </c>
      <c r="H164" s="57" t="n">
        <f aca="false">G164*8/$D$161</f>
        <v>0.08</v>
      </c>
      <c r="I164" s="1" t="n">
        <v>34.73</v>
      </c>
      <c r="J164" s="28" t="n">
        <f aca="false">H164*I164</f>
        <v>2.7784</v>
      </c>
    </row>
    <row r="165" customFormat="false" ht="15" hidden="false" customHeight="false" outlineLevel="0" collapsed="false">
      <c r="B165" s="1" t="s">
        <v>291</v>
      </c>
      <c r="F165" s="55" t="s">
        <v>292</v>
      </c>
      <c r="G165" s="56" t="n">
        <v>1</v>
      </c>
      <c r="H165" s="57" t="n">
        <f aca="false">G165*8/$D$161</f>
        <v>0.8</v>
      </c>
      <c r="I165" s="28" t="n">
        <v>28.94</v>
      </c>
      <c r="J165" s="28" t="n">
        <f aca="false">H165*I165</f>
        <v>23.152</v>
      </c>
      <c r="N165" s="14"/>
    </row>
    <row r="166" customFormat="false" ht="15" hidden="false" customHeight="false" outlineLevel="0" collapsed="false">
      <c r="B166" s="1" t="s">
        <v>293</v>
      </c>
      <c r="F166" s="55" t="s">
        <v>292</v>
      </c>
      <c r="G166" s="56" t="n">
        <v>1</v>
      </c>
      <c r="H166" s="57" t="n">
        <f aca="false">G166*8/$D$161</f>
        <v>0.8</v>
      </c>
      <c r="I166" s="1" t="n">
        <v>22.66</v>
      </c>
      <c r="J166" s="28" t="n">
        <f aca="false">H166*I166</f>
        <v>18.128</v>
      </c>
      <c r="N166" s="14"/>
    </row>
    <row r="167" customFormat="false" ht="15" hidden="false" customHeight="false" outlineLevel="0" collapsed="false">
      <c r="F167" s="55"/>
      <c r="G167" s="56"/>
      <c r="H167" s="57"/>
      <c r="J167" s="53" t="n">
        <f aca="false">SUM(J164:J166)</f>
        <v>44.0584</v>
      </c>
      <c r="N167" s="14"/>
    </row>
    <row r="168" customFormat="false" ht="15" hidden="false" customHeight="false" outlineLevel="0" collapsed="false">
      <c r="B168" s="54" t="s">
        <v>654</v>
      </c>
      <c r="F168" s="55"/>
      <c r="G168" s="56"/>
      <c r="H168" s="57"/>
      <c r="I168" s="57"/>
      <c r="J168" s="28"/>
      <c r="N168" s="14"/>
    </row>
    <row r="169" customFormat="false" ht="15" hidden="false" customHeight="false" outlineLevel="0" collapsed="false">
      <c r="B169" s="1" t="s">
        <v>1121</v>
      </c>
      <c r="F169" s="55" t="s">
        <v>150</v>
      </c>
      <c r="G169" s="56"/>
      <c r="H169" s="57" t="n">
        <v>1</v>
      </c>
      <c r="I169" s="1" t="n">
        <v>12.5</v>
      </c>
      <c r="J169" s="28" t="n">
        <f aca="false">H169*I169</f>
        <v>12.5</v>
      </c>
      <c r="N169" s="14"/>
    </row>
    <row r="170" customFormat="false" ht="15" hidden="false" customHeight="false" outlineLevel="0" collapsed="false">
      <c r="J170" s="53" t="n">
        <f aca="false">SUM(J169:J169)</f>
        <v>12.5</v>
      </c>
      <c r="M170" s="14"/>
      <c r="N170" s="14"/>
    </row>
    <row r="171" customFormat="false" ht="15" hidden="false" customHeight="false" outlineLevel="0" collapsed="false">
      <c r="B171" s="54" t="s">
        <v>310</v>
      </c>
    </row>
    <row r="172" customFormat="false" ht="15" hidden="false" customHeight="false" outlineLevel="0" collapsed="false">
      <c r="B172" s="1" t="s">
        <v>311</v>
      </c>
      <c r="F172" s="55" t="s">
        <v>312</v>
      </c>
      <c r="H172" s="57" t="n">
        <v>3</v>
      </c>
      <c r="I172" s="28" t="n">
        <f aca="false">J167</f>
        <v>44.0584</v>
      </c>
      <c r="J172" s="28" t="n">
        <f aca="false">H172%*I172</f>
        <v>1.321752</v>
      </c>
    </row>
    <row r="173" customFormat="false" ht="15" hidden="false" customHeight="false" outlineLevel="0" collapsed="false">
      <c r="A173" s="60"/>
      <c r="B173" s="60"/>
      <c r="C173" s="60"/>
      <c r="D173" s="60"/>
      <c r="E173" s="60"/>
      <c r="F173" s="60"/>
      <c r="G173" s="60"/>
      <c r="H173" s="60"/>
      <c r="I173" s="80"/>
      <c r="J173" s="61" t="n">
        <f aca="false">SUM(J172)</f>
        <v>1.321752</v>
      </c>
    </row>
    <row r="175" customFormat="false" ht="15" hidden="false" customHeight="false" outlineLevel="0" collapsed="false">
      <c r="A175" s="14" t="s">
        <v>278</v>
      </c>
      <c r="B175" s="14" t="str">
        <f aca="false">COMUNICACIONES!A14</f>
        <v>06.01.11</v>
      </c>
      <c r="C175" s="14" t="s">
        <v>1123</v>
      </c>
      <c r="D175" s="14"/>
    </row>
    <row r="176" customFormat="false" ht="15" hidden="false" customHeight="false" outlineLevel="0" collapsed="false">
      <c r="A176" s="14" t="s">
        <v>279</v>
      </c>
      <c r="B176" s="14" t="s">
        <v>314</v>
      </c>
      <c r="C176" s="36" t="s">
        <v>281</v>
      </c>
      <c r="D176" s="52" t="n">
        <v>12</v>
      </c>
      <c r="E176" s="36" t="s">
        <v>282</v>
      </c>
      <c r="F176" s="52" t="n">
        <f aca="false">D176</f>
        <v>12</v>
      </c>
      <c r="G176" s="14" t="s">
        <v>283</v>
      </c>
      <c r="I176" s="36" t="s">
        <v>145</v>
      </c>
      <c r="J176" s="53" t="n">
        <f aca="false">J182+J185+J188</f>
        <v>99.34046</v>
      </c>
    </row>
    <row r="177" customFormat="false" ht="15" hidden="false" customHeight="false" outlineLevel="0" collapsed="false">
      <c r="A177" s="14" t="s">
        <v>284</v>
      </c>
      <c r="B177" s="14" t="s">
        <v>285</v>
      </c>
      <c r="F177" s="36" t="s">
        <v>123</v>
      </c>
      <c r="G177" s="36" t="s">
        <v>286</v>
      </c>
      <c r="H177" s="36" t="s">
        <v>287</v>
      </c>
      <c r="I177" s="36" t="s">
        <v>288</v>
      </c>
      <c r="J177" s="36" t="s">
        <v>289</v>
      </c>
    </row>
    <row r="178" customFormat="false" ht="15" hidden="false" customHeight="false" outlineLevel="0" collapsed="false">
      <c r="B178" s="54" t="s">
        <v>290</v>
      </c>
    </row>
    <row r="179" customFormat="false" ht="15" hidden="false" customHeight="false" outlineLevel="0" collapsed="false">
      <c r="B179" s="1" t="s">
        <v>651</v>
      </c>
      <c r="F179" s="55" t="s">
        <v>292</v>
      </c>
      <c r="G179" s="56" t="n">
        <v>0.1</v>
      </c>
      <c r="H179" s="57" t="n">
        <f aca="false">G179*8/$D$176</f>
        <v>0.0666666666666667</v>
      </c>
      <c r="I179" s="1" t="n">
        <v>34.73</v>
      </c>
      <c r="J179" s="28" t="n">
        <f aca="false">H179*I179</f>
        <v>2.31533333333333</v>
      </c>
    </row>
    <row r="180" customFormat="false" ht="15" hidden="false" customHeight="false" outlineLevel="0" collapsed="false">
      <c r="B180" s="1" t="s">
        <v>291</v>
      </c>
      <c r="F180" s="55" t="s">
        <v>292</v>
      </c>
      <c r="G180" s="56" t="n">
        <v>1</v>
      </c>
      <c r="H180" s="57" t="n">
        <f aca="false">G180*8/$D$176</f>
        <v>0.666666666666667</v>
      </c>
      <c r="I180" s="28" t="n">
        <v>28.94</v>
      </c>
      <c r="J180" s="28" t="n">
        <f aca="false">H180*I180</f>
        <v>19.2933333333333</v>
      </c>
    </row>
    <row r="181" customFormat="false" ht="15" hidden="false" customHeight="false" outlineLevel="0" collapsed="false">
      <c r="B181" s="1" t="s">
        <v>294</v>
      </c>
      <c r="F181" s="55" t="s">
        <v>292</v>
      </c>
      <c r="G181" s="56" t="n">
        <v>1</v>
      </c>
      <c r="H181" s="57" t="n">
        <f aca="false">G181*8/$D$176</f>
        <v>0.666666666666667</v>
      </c>
      <c r="I181" s="1" t="n">
        <v>20.51</v>
      </c>
      <c r="J181" s="28" t="n">
        <f aca="false">H181*I181</f>
        <v>13.6733333333333</v>
      </c>
    </row>
    <row r="182" customFormat="false" ht="15" hidden="false" customHeight="false" outlineLevel="0" collapsed="false">
      <c r="F182" s="55"/>
      <c r="G182" s="56"/>
      <c r="H182" s="57"/>
      <c r="J182" s="53" t="n">
        <f aca="false">SUM(J179:J181)</f>
        <v>35.282</v>
      </c>
    </row>
    <row r="183" customFormat="false" ht="15" hidden="false" customHeight="false" outlineLevel="0" collapsed="false">
      <c r="B183" s="54" t="s">
        <v>654</v>
      </c>
      <c r="F183" s="55"/>
      <c r="G183" s="56"/>
      <c r="H183" s="57"/>
      <c r="I183" s="57"/>
      <c r="J183" s="28"/>
    </row>
    <row r="184" customFormat="false" ht="15" hidden="false" customHeight="false" outlineLevel="0" collapsed="false">
      <c r="B184" s="1" t="s">
        <v>1194</v>
      </c>
      <c r="F184" s="55" t="s">
        <v>150</v>
      </c>
      <c r="G184" s="56"/>
      <c r="H184" s="57" t="n">
        <v>1.05</v>
      </c>
      <c r="I184" s="1" t="n">
        <v>60</v>
      </c>
      <c r="J184" s="28" t="n">
        <f aca="false">H184*I184</f>
        <v>63</v>
      </c>
    </row>
    <row r="185" customFormat="false" ht="15" hidden="false" customHeight="false" outlineLevel="0" collapsed="false">
      <c r="J185" s="53" t="n">
        <f aca="false">SUM(J184:J184)</f>
        <v>63</v>
      </c>
    </row>
    <row r="186" customFormat="false" ht="15" hidden="false" customHeight="false" outlineLevel="0" collapsed="false">
      <c r="B186" s="54" t="s">
        <v>310</v>
      </c>
    </row>
    <row r="187" customFormat="false" ht="15" hidden="false" customHeight="false" outlineLevel="0" collapsed="false">
      <c r="B187" s="1" t="s">
        <v>311</v>
      </c>
      <c r="F187" s="55" t="s">
        <v>312</v>
      </c>
      <c r="H187" s="57" t="n">
        <v>3</v>
      </c>
      <c r="I187" s="28" t="n">
        <f aca="false">J182</f>
        <v>35.282</v>
      </c>
      <c r="J187" s="28" t="n">
        <f aca="false">H187%*I187</f>
        <v>1.05846</v>
      </c>
    </row>
    <row r="188" customFormat="false" ht="15" hidden="false" customHeight="false" outlineLevel="0" collapsed="false">
      <c r="A188" s="60"/>
      <c r="B188" s="60"/>
      <c r="C188" s="60"/>
      <c r="D188" s="60"/>
      <c r="E188" s="60"/>
      <c r="F188" s="60"/>
      <c r="G188" s="60"/>
      <c r="H188" s="60"/>
      <c r="I188" s="80"/>
      <c r="J188" s="61" t="n">
        <f aca="false">SUM(J187)</f>
        <v>1.05846</v>
      </c>
    </row>
    <row r="190" customFormat="false" ht="15" hidden="false" customHeight="false" outlineLevel="0" collapsed="false">
      <c r="A190" s="14" t="s">
        <v>278</v>
      </c>
      <c r="B190" s="14" t="str">
        <f aca="false">COMUNICACIONES!A16</f>
        <v>06.02.01</v>
      </c>
      <c r="C190" s="14" t="s">
        <v>1126</v>
      </c>
      <c r="D190" s="14"/>
    </row>
    <row r="191" customFormat="false" ht="15" hidden="false" customHeight="false" outlineLevel="0" collapsed="false">
      <c r="A191" s="14" t="s">
        <v>279</v>
      </c>
      <c r="B191" s="14" t="s">
        <v>326</v>
      </c>
      <c r="C191" s="36" t="s">
        <v>281</v>
      </c>
      <c r="D191" s="52" t="n">
        <v>4</v>
      </c>
      <c r="E191" s="36" t="s">
        <v>282</v>
      </c>
      <c r="F191" s="52" t="n">
        <f aca="false">D191</f>
        <v>4</v>
      </c>
      <c r="G191" s="14" t="s">
        <v>283</v>
      </c>
      <c r="I191" s="36" t="s">
        <v>150</v>
      </c>
      <c r="J191" s="53" t="n">
        <f aca="false">J196+J199+J202</f>
        <v>2842.9762</v>
      </c>
    </row>
    <row r="192" customFormat="false" ht="15" hidden="false" customHeight="false" outlineLevel="0" collapsed="false">
      <c r="A192" s="14" t="s">
        <v>284</v>
      </c>
      <c r="B192" s="14" t="s">
        <v>285</v>
      </c>
      <c r="F192" s="36" t="s">
        <v>123</v>
      </c>
      <c r="G192" s="36" t="s">
        <v>286</v>
      </c>
      <c r="H192" s="36" t="s">
        <v>287</v>
      </c>
      <c r="I192" s="36" t="s">
        <v>288</v>
      </c>
      <c r="J192" s="36" t="s">
        <v>289</v>
      </c>
    </row>
    <row r="193" customFormat="false" ht="15" hidden="false" customHeight="false" outlineLevel="0" collapsed="false">
      <c r="B193" s="54" t="s">
        <v>290</v>
      </c>
    </row>
    <row r="194" customFormat="false" ht="15" hidden="false" customHeight="false" outlineLevel="0" collapsed="false">
      <c r="B194" s="1" t="s">
        <v>680</v>
      </c>
      <c r="F194" s="55" t="s">
        <v>292</v>
      </c>
      <c r="G194" s="56" t="n">
        <v>1</v>
      </c>
      <c r="H194" s="57" t="n">
        <f aca="false">G194*8/$D$191</f>
        <v>2</v>
      </c>
      <c r="I194" s="28" t="n">
        <v>22.66</v>
      </c>
      <c r="J194" s="28" t="n">
        <f aca="false">H194*I194</f>
        <v>45.32</v>
      </c>
    </row>
    <row r="195" customFormat="false" ht="15" hidden="false" customHeight="false" outlineLevel="0" collapsed="false">
      <c r="B195" s="1" t="s">
        <v>1173</v>
      </c>
      <c r="F195" s="55" t="s">
        <v>292</v>
      </c>
      <c r="G195" s="56" t="n">
        <v>1</v>
      </c>
      <c r="H195" s="57" t="n">
        <f aca="false">G195*8/$D$191</f>
        <v>2</v>
      </c>
      <c r="I195" s="1" t="n">
        <v>26.11</v>
      </c>
      <c r="J195" s="28" t="n">
        <f aca="false">H195*I195</f>
        <v>52.22</v>
      </c>
    </row>
    <row r="196" customFormat="false" ht="15" hidden="false" customHeight="false" outlineLevel="0" collapsed="false">
      <c r="F196" s="55"/>
      <c r="G196" s="56"/>
      <c r="H196" s="57"/>
      <c r="J196" s="53" t="n">
        <f aca="false">SUM(J194:J195)</f>
        <v>97.54</v>
      </c>
    </row>
    <row r="197" customFormat="false" ht="15" hidden="false" customHeight="false" outlineLevel="0" collapsed="false">
      <c r="B197" s="54" t="s">
        <v>654</v>
      </c>
      <c r="F197" s="55"/>
      <c r="G197" s="56"/>
      <c r="H197" s="57"/>
      <c r="I197" s="57"/>
      <c r="J197" s="28"/>
    </row>
    <row r="198" customFormat="false" ht="15" hidden="false" customHeight="false" outlineLevel="0" collapsed="false">
      <c r="B198" s="1" t="s">
        <v>1195</v>
      </c>
      <c r="F198" s="55" t="s">
        <v>150</v>
      </c>
      <c r="G198" s="56"/>
      <c r="H198" s="57" t="n">
        <v>1</v>
      </c>
      <c r="I198" s="1" t="n">
        <v>2742.51</v>
      </c>
      <c r="J198" s="28" t="n">
        <f aca="false">H198*I198</f>
        <v>2742.51</v>
      </c>
    </row>
    <row r="199" customFormat="false" ht="15" hidden="false" customHeight="false" outlineLevel="0" collapsed="false">
      <c r="J199" s="53" t="n">
        <f aca="false">SUM(J198:J198)</f>
        <v>2742.51</v>
      </c>
    </row>
    <row r="200" customFormat="false" ht="15" hidden="false" customHeight="false" outlineLevel="0" collapsed="false">
      <c r="B200" s="54" t="s">
        <v>310</v>
      </c>
    </row>
    <row r="201" customFormat="false" ht="15" hidden="false" customHeight="false" outlineLevel="0" collapsed="false">
      <c r="B201" s="1" t="s">
        <v>311</v>
      </c>
      <c r="F201" s="55" t="s">
        <v>312</v>
      </c>
      <c r="H201" s="57" t="n">
        <v>3</v>
      </c>
      <c r="I201" s="28" t="n">
        <f aca="false">J196</f>
        <v>97.54</v>
      </c>
      <c r="J201" s="28" t="n">
        <f aca="false">H201%*I201</f>
        <v>2.9262</v>
      </c>
    </row>
    <row r="202" customFormat="false" ht="15" hidden="false" customHeight="false" outlineLevel="0" collapsed="false">
      <c r="A202" s="60"/>
      <c r="B202" s="60"/>
      <c r="C202" s="60"/>
      <c r="D202" s="60"/>
      <c r="E202" s="60"/>
      <c r="F202" s="60"/>
      <c r="G202" s="60"/>
      <c r="H202" s="60"/>
      <c r="I202" s="80"/>
      <c r="J202" s="61" t="n">
        <f aca="false">SUM(J201)</f>
        <v>2.9262</v>
      </c>
    </row>
    <row r="204" customFormat="false" ht="15" hidden="false" customHeight="false" outlineLevel="0" collapsed="false">
      <c r="A204" s="14" t="s">
        <v>278</v>
      </c>
      <c r="B204" s="14" t="str">
        <f aca="false">COMUNICACIONES!A17</f>
        <v>06.02.02</v>
      </c>
      <c r="C204" s="14" t="s">
        <v>1128</v>
      </c>
      <c r="D204" s="14"/>
    </row>
    <row r="205" customFormat="false" ht="15" hidden="false" customHeight="false" outlineLevel="0" collapsed="false">
      <c r="A205" s="14" t="s">
        <v>279</v>
      </c>
      <c r="B205" s="14" t="s">
        <v>326</v>
      </c>
      <c r="C205" s="36" t="s">
        <v>281</v>
      </c>
      <c r="D205" s="52" t="n">
        <v>4</v>
      </c>
      <c r="E205" s="36" t="s">
        <v>282</v>
      </c>
      <c r="F205" s="52" t="n">
        <f aca="false">D205</f>
        <v>4</v>
      </c>
      <c r="G205" s="14" t="s">
        <v>283</v>
      </c>
      <c r="I205" s="36" t="s">
        <v>150</v>
      </c>
      <c r="J205" s="53" t="n">
        <f aca="false">J210+J213+J216</f>
        <v>813.0862</v>
      </c>
    </row>
    <row r="206" customFormat="false" ht="15" hidden="false" customHeight="false" outlineLevel="0" collapsed="false">
      <c r="A206" s="14" t="s">
        <v>284</v>
      </c>
      <c r="B206" s="14" t="s">
        <v>285</v>
      </c>
      <c r="F206" s="36" t="s">
        <v>123</v>
      </c>
      <c r="G206" s="36" t="s">
        <v>286</v>
      </c>
      <c r="H206" s="36" t="s">
        <v>287</v>
      </c>
      <c r="I206" s="36" t="s">
        <v>288</v>
      </c>
      <c r="J206" s="36" t="s">
        <v>289</v>
      </c>
    </row>
    <row r="207" customFormat="false" ht="15" hidden="false" customHeight="false" outlineLevel="0" collapsed="false">
      <c r="B207" s="54" t="s">
        <v>290</v>
      </c>
    </row>
    <row r="208" customFormat="false" ht="15" hidden="false" customHeight="false" outlineLevel="0" collapsed="false">
      <c r="B208" s="1" t="s">
        <v>680</v>
      </c>
      <c r="F208" s="55" t="s">
        <v>292</v>
      </c>
      <c r="G208" s="56" t="n">
        <v>1</v>
      </c>
      <c r="H208" s="57" t="n">
        <f aca="false">G208*8/$D$205</f>
        <v>2</v>
      </c>
      <c r="I208" s="28" t="n">
        <v>22.66</v>
      </c>
      <c r="J208" s="28" t="n">
        <f aca="false">H208*I208</f>
        <v>45.32</v>
      </c>
    </row>
    <row r="209" customFormat="false" ht="15" hidden="false" customHeight="false" outlineLevel="0" collapsed="false">
      <c r="B209" s="1" t="s">
        <v>1173</v>
      </c>
      <c r="F209" s="55" t="s">
        <v>292</v>
      </c>
      <c r="G209" s="56" t="n">
        <v>1</v>
      </c>
      <c r="H209" s="57" t="n">
        <f aca="false">G209*8/$D$205</f>
        <v>2</v>
      </c>
      <c r="I209" s="1" t="n">
        <v>26.11</v>
      </c>
      <c r="J209" s="28" t="n">
        <f aca="false">H209*I209</f>
        <v>52.22</v>
      </c>
    </row>
    <row r="210" customFormat="false" ht="15" hidden="false" customHeight="false" outlineLevel="0" collapsed="false">
      <c r="F210" s="55"/>
      <c r="G210" s="56"/>
      <c r="H210" s="57"/>
      <c r="J210" s="53" t="n">
        <f aca="false">SUM(J208:J209)</f>
        <v>97.54</v>
      </c>
    </row>
    <row r="211" customFormat="false" ht="15" hidden="false" customHeight="false" outlineLevel="0" collapsed="false">
      <c r="B211" s="54" t="s">
        <v>654</v>
      </c>
      <c r="F211" s="55"/>
      <c r="G211" s="56"/>
      <c r="H211" s="57"/>
      <c r="I211" s="57"/>
      <c r="J211" s="28"/>
    </row>
    <row r="212" customFormat="false" ht="15" hidden="false" customHeight="false" outlineLevel="0" collapsed="false">
      <c r="B212" s="1" t="s">
        <v>1196</v>
      </c>
      <c r="F212" s="55" t="s">
        <v>150</v>
      </c>
      <c r="G212" s="56"/>
      <c r="H212" s="57" t="n">
        <v>1</v>
      </c>
      <c r="I212" s="1" t="n">
        <v>712.62</v>
      </c>
      <c r="J212" s="28" t="n">
        <f aca="false">H212*I212</f>
        <v>712.62</v>
      </c>
    </row>
    <row r="213" customFormat="false" ht="15" hidden="false" customHeight="false" outlineLevel="0" collapsed="false">
      <c r="J213" s="53" t="n">
        <f aca="false">SUM(J212:J212)</f>
        <v>712.62</v>
      </c>
    </row>
    <row r="214" customFormat="false" ht="15" hidden="false" customHeight="false" outlineLevel="0" collapsed="false">
      <c r="B214" s="54" t="s">
        <v>310</v>
      </c>
    </row>
    <row r="215" customFormat="false" ht="15" hidden="false" customHeight="false" outlineLevel="0" collapsed="false">
      <c r="B215" s="1" t="s">
        <v>311</v>
      </c>
      <c r="F215" s="55" t="s">
        <v>312</v>
      </c>
      <c r="H215" s="57" t="n">
        <v>3</v>
      </c>
      <c r="I215" s="28" t="n">
        <f aca="false">J210</f>
        <v>97.54</v>
      </c>
      <c r="J215" s="28" t="n">
        <f aca="false">H215%*I215</f>
        <v>2.9262</v>
      </c>
    </row>
    <row r="216" customFormat="false" ht="15" hidden="false" customHeight="false" outlineLevel="0" collapsed="false">
      <c r="A216" s="60"/>
      <c r="B216" s="60"/>
      <c r="C216" s="60"/>
      <c r="D216" s="60"/>
      <c r="E216" s="60"/>
      <c r="F216" s="60"/>
      <c r="G216" s="60"/>
      <c r="H216" s="60"/>
      <c r="I216" s="80"/>
      <c r="J216" s="61" t="n">
        <f aca="false">SUM(J215)</f>
        <v>2.9262</v>
      </c>
    </row>
    <row r="217" customFormat="false" ht="15" hidden="false" customHeight="false" outlineLevel="0" collapsed="false">
      <c r="A217" s="136"/>
      <c r="B217" s="136"/>
      <c r="C217" s="136"/>
      <c r="D217" s="136"/>
      <c r="E217" s="136"/>
      <c r="F217" s="136"/>
      <c r="G217" s="136"/>
    </row>
    <row r="218" customFormat="false" ht="15" hidden="false" customHeight="false" outlineLevel="0" collapsed="false">
      <c r="A218" s="14" t="s">
        <v>278</v>
      </c>
      <c r="B218" s="14" t="str">
        <f aca="false">COMUNICACIONES!A18</f>
        <v>06.02.03</v>
      </c>
      <c r="C218" s="14" t="s">
        <v>1130</v>
      </c>
      <c r="D218" s="14"/>
    </row>
    <row r="219" customFormat="false" ht="15" hidden="false" customHeight="false" outlineLevel="0" collapsed="false">
      <c r="A219" s="14" t="s">
        <v>279</v>
      </c>
      <c r="B219" s="14" t="s">
        <v>326</v>
      </c>
      <c r="C219" s="36" t="s">
        <v>281</v>
      </c>
      <c r="D219" s="52" t="n">
        <v>4</v>
      </c>
      <c r="E219" s="36" t="s">
        <v>282</v>
      </c>
      <c r="F219" s="52" t="n">
        <f aca="false">D219</f>
        <v>4</v>
      </c>
      <c r="G219" s="14" t="s">
        <v>283</v>
      </c>
      <c r="I219" s="36" t="s">
        <v>150</v>
      </c>
      <c r="J219" s="53" t="n">
        <f aca="false">J224+J227+J230</f>
        <v>2276.0062</v>
      </c>
    </row>
    <row r="220" customFormat="false" ht="15" hidden="false" customHeight="false" outlineLevel="0" collapsed="false">
      <c r="A220" s="14" t="s">
        <v>284</v>
      </c>
      <c r="B220" s="14" t="s">
        <v>285</v>
      </c>
      <c r="F220" s="36" t="s">
        <v>123</v>
      </c>
      <c r="G220" s="36" t="s">
        <v>286</v>
      </c>
      <c r="H220" s="36" t="s">
        <v>287</v>
      </c>
      <c r="I220" s="36" t="s">
        <v>288</v>
      </c>
      <c r="J220" s="36" t="s">
        <v>289</v>
      </c>
    </row>
    <row r="221" customFormat="false" ht="15" hidden="false" customHeight="false" outlineLevel="0" collapsed="false">
      <c r="B221" s="54" t="s">
        <v>290</v>
      </c>
    </row>
    <row r="222" customFormat="false" ht="15" hidden="false" customHeight="false" outlineLevel="0" collapsed="false">
      <c r="B222" s="1" t="s">
        <v>680</v>
      </c>
      <c r="F222" s="55" t="s">
        <v>292</v>
      </c>
      <c r="G222" s="56" t="n">
        <v>1</v>
      </c>
      <c r="H222" s="57" t="n">
        <f aca="false">G222*8/$D$219</f>
        <v>2</v>
      </c>
      <c r="I222" s="28" t="n">
        <v>22.66</v>
      </c>
      <c r="J222" s="28" t="n">
        <f aca="false">H222*I222</f>
        <v>45.32</v>
      </c>
    </row>
    <row r="223" customFormat="false" ht="15" hidden="false" customHeight="false" outlineLevel="0" collapsed="false">
      <c r="B223" s="1" t="s">
        <v>1173</v>
      </c>
      <c r="F223" s="55" t="s">
        <v>292</v>
      </c>
      <c r="G223" s="56" t="n">
        <v>1</v>
      </c>
      <c r="H223" s="57" t="n">
        <f aca="false">G223*8/$D$219</f>
        <v>2</v>
      </c>
      <c r="I223" s="1" t="n">
        <v>26.11</v>
      </c>
      <c r="J223" s="28" t="n">
        <f aca="false">H223*I223</f>
        <v>52.22</v>
      </c>
    </row>
    <row r="224" customFormat="false" ht="15" hidden="false" customHeight="false" outlineLevel="0" collapsed="false">
      <c r="F224" s="55"/>
      <c r="G224" s="56"/>
      <c r="H224" s="57"/>
      <c r="J224" s="53" t="n">
        <f aca="false">SUM(J222:J223)</f>
        <v>97.54</v>
      </c>
    </row>
    <row r="225" customFormat="false" ht="15" hidden="false" customHeight="false" outlineLevel="0" collapsed="false">
      <c r="B225" s="54" t="s">
        <v>654</v>
      </c>
      <c r="F225" s="55"/>
      <c r="G225" s="56"/>
      <c r="H225" s="57"/>
      <c r="I225" s="57"/>
      <c r="J225" s="28"/>
    </row>
    <row r="226" customFormat="false" ht="15" hidden="false" customHeight="false" outlineLevel="0" collapsed="false">
      <c r="B226" s="1" t="s">
        <v>1197</v>
      </c>
      <c r="F226" s="55" t="s">
        <v>150</v>
      </c>
      <c r="G226" s="56"/>
      <c r="H226" s="57" t="n">
        <v>1</v>
      </c>
      <c r="I226" s="1" t="n">
        <v>2175.54</v>
      </c>
      <c r="J226" s="28" t="n">
        <f aca="false">H226*I226</f>
        <v>2175.54</v>
      </c>
    </row>
    <row r="227" customFormat="false" ht="15" hidden="false" customHeight="false" outlineLevel="0" collapsed="false">
      <c r="J227" s="53" t="n">
        <f aca="false">SUM(J226:J226)</f>
        <v>2175.54</v>
      </c>
    </row>
    <row r="228" customFormat="false" ht="15" hidden="false" customHeight="false" outlineLevel="0" collapsed="false">
      <c r="B228" s="54" t="s">
        <v>310</v>
      </c>
    </row>
    <row r="229" customFormat="false" ht="15" hidden="false" customHeight="false" outlineLevel="0" collapsed="false">
      <c r="B229" s="1" t="s">
        <v>311</v>
      </c>
      <c r="F229" s="55" t="s">
        <v>312</v>
      </c>
      <c r="H229" s="57" t="n">
        <v>3</v>
      </c>
      <c r="I229" s="28" t="n">
        <f aca="false">J224</f>
        <v>97.54</v>
      </c>
      <c r="J229" s="28" t="n">
        <f aca="false">H229%*I229</f>
        <v>2.9262</v>
      </c>
    </row>
    <row r="230" customFormat="false" ht="15" hidden="false" customHeight="false" outlineLevel="0" collapsed="false">
      <c r="A230" s="60"/>
      <c r="B230" s="60"/>
      <c r="C230" s="60"/>
      <c r="D230" s="60"/>
      <c r="E230" s="60"/>
      <c r="F230" s="60"/>
      <c r="G230" s="60"/>
      <c r="H230" s="60"/>
      <c r="I230" s="80"/>
      <c r="J230" s="61" t="n">
        <f aca="false">SUM(J229)</f>
        <v>2.9262</v>
      </c>
    </row>
    <row r="231" customFormat="false" ht="15" hidden="false" customHeight="false" outlineLevel="0" collapsed="false">
      <c r="A231" s="136"/>
      <c r="B231" s="136"/>
      <c r="C231" s="136"/>
      <c r="D231" s="136"/>
      <c r="E231" s="136"/>
      <c r="F231" s="136"/>
      <c r="G231" s="136"/>
    </row>
    <row r="232" customFormat="false" ht="15" hidden="false" customHeight="false" outlineLevel="0" collapsed="false">
      <c r="A232" s="14" t="s">
        <v>278</v>
      </c>
      <c r="B232" s="14" t="str">
        <f aca="false">COMUNICACIONES!A19</f>
        <v>06.02.04</v>
      </c>
      <c r="C232" s="14" t="s">
        <v>1130</v>
      </c>
      <c r="D232" s="14"/>
    </row>
    <row r="233" customFormat="false" ht="15" hidden="false" customHeight="false" outlineLevel="0" collapsed="false">
      <c r="A233" s="14" t="s">
        <v>279</v>
      </c>
      <c r="B233" s="14" t="s">
        <v>326</v>
      </c>
      <c r="C233" s="36" t="s">
        <v>281</v>
      </c>
      <c r="D233" s="52" t="n">
        <v>4</v>
      </c>
      <c r="E233" s="36" t="s">
        <v>282</v>
      </c>
      <c r="F233" s="52" t="n">
        <f aca="false">D233</f>
        <v>4</v>
      </c>
      <c r="G233" s="14" t="s">
        <v>283</v>
      </c>
      <c r="I233" s="36" t="s">
        <v>150</v>
      </c>
      <c r="J233" s="53" t="n">
        <f aca="false">J238+J241+J244</f>
        <v>460.5362</v>
      </c>
    </row>
    <row r="234" customFormat="false" ht="15" hidden="false" customHeight="false" outlineLevel="0" collapsed="false">
      <c r="A234" s="14" t="s">
        <v>284</v>
      </c>
      <c r="B234" s="14" t="s">
        <v>285</v>
      </c>
      <c r="F234" s="36" t="s">
        <v>123</v>
      </c>
      <c r="G234" s="36" t="s">
        <v>286</v>
      </c>
      <c r="H234" s="36" t="s">
        <v>287</v>
      </c>
      <c r="I234" s="36" t="s">
        <v>288</v>
      </c>
      <c r="J234" s="36" t="s">
        <v>289</v>
      </c>
    </row>
    <row r="235" customFormat="false" ht="15" hidden="false" customHeight="false" outlineLevel="0" collapsed="false">
      <c r="B235" s="54" t="s">
        <v>290</v>
      </c>
    </row>
    <row r="236" customFormat="false" ht="15" hidden="false" customHeight="false" outlineLevel="0" collapsed="false">
      <c r="B236" s="1" t="s">
        <v>680</v>
      </c>
      <c r="F236" s="55" t="s">
        <v>292</v>
      </c>
      <c r="G236" s="56" t="n">
        <v>1</v>
      </c>
      <c r="H236" s="57" t="n">
        <f aca="false">G236*8/$D$233</f>
        <v>2</v>
      </c>
      <c r="I236" s="28" t="n">
        <v>22.66</v>
      </c>
      <c r="J236" s="28" t="n">
        <f aca="false">H236*I236</f>
        <v>45.32</v>
      </c>
    </row>
    <row r="237" customFormat="false" ht="15" hidden="false" customHeight="false" outlineLevel="0" collapsed="false">
      <c r="B237" s="1" t="s">
        <v>1173</v>
      </c>
      <c r="F237" s="55" t="s">
        <v>292</v>
      </c>
      <c r="G237" s="56" t="n">
        <v>1</v>
      </c>
      <c r="H237" s="57" t="n">
        <f aca="false">G237*8/$D$233</f>
        <v>2</v>
      </c>
      <c r="I237" s="1" t="n">
        <v>26.11</v>
      </c>
      <c r="J237" s="28" t="n">
        <f aca="false">H237*I237</f>
        <v>52.22</v>
      </c>
    </row>
    <row r="238" customFormat="false" ht="15" hidden="false" customHeight="false" outlineLevel="0" collapsed="false">
      <c r="F238" s="55"/>
      <c r="G238" s="56"/>
      <c r="H238" s="57"/>
      <c r="J238" s="53" t="n">
        <f aca="false">SUM(J236:J237)</f>
        <v>97.54</v>
      </c>
    </row>
    <row r="239" customFormat="false" ht="15" hidden="false" customHeight="false" outlineLevel="0" collapsed="false">
      <c r="B239" s="54" t="s">
        <v>654</v>
      </c>
      <c r="F239" s="55"/>
      <c r="G239" s="56"/>
      <c r="H239" s="57"/>
      <c r="I239" s="57"/>
      <c r="J239" s="28"/>
    </row>
    <row r="240" customFormat="false" ht="15" hidden="false" customHeight="false" outlineLevel="0" collapsed="false">
      <c r="B240" s="1" t="s">
        <v>1198</v>
      </c>
      <c r="F240" s="55" t="s">
        <v>150</v>
      </c>
      <c r="G240" s="56"/>
      <c r="H240" s="57" t="n">
        <v>1</v>
      </c>
      <c r="I240" s="1" t="n">
        <v>360.07</v>
      </c>
      <c r="J240" s="28" t="n">
        <f aca="false">H240*I240</f>
        <v>360.07</v>
      </c>
    </row>
    <row r="241" customFormat="false" ht="15" hidden="false" customHeight="false" outlineLevel="0" collapsed="false">
      <c r="J241" s="53" t="n">
        <f aca="false">SUM(J240:J240)</f>
        <v>360.07</v>
      </c>
    </row>
    <row r="242" customFormat="false" ht="15" hidden="false" customHeight="false" outlineLevel="0" collapsed="false">
      <c r="B242" s="54" t="s">
        <v>310</v>
      </c>
    </row>
    <row r="243" customFormat="false" ht="15" hidden="false" customHeight="false" outlineLevel="0" collapsed="false">
      <c r="B243" s="1" t="s">
        <v>311</v>
      </c>
      <c r="F243" s="55" t="s">
        <v>312</v>
      </c>
      <c r="H243" s="57" t="n">
        <v>3</v>
      </c>
      <c r="I243" s="28" t="n">
        <f aca="false">J238</f>
        <v>97.54</v>
      </c>
      <c r="J243" s="28" t="n">
        <f aca="false">H243%*I243</f>
        <v>2.9262</v>
      </c>
    </row>
    <row r="244" customFormat="false" ht="15" hidden="false" customHeight="false" outlineLevel="0" collapsed="false">
      <c r="A244" s="60"/>
      <c r="B244" s="60"/>
      <c r="C244" s="60"/>
      <c r="D244" s="60"/>
      <c r="E244" s="60"/>
      <c r="F244" s="60"/>
      <c r="G244" s="60"/>
      <c r="H244" s="60"/>
      <c r="I244" s="80"/>
      <c r="J244" s="61" t="n">
        <f aca="false">SUM(J243)</f>
        <v>2.9262</v>
      </c>
    </row>
    <row r="245" customFormat="false" ht="15" hidden="false" customHeight="false" outlineLevel="0" collapsed="false">
      <c r="A245" s="136"/>
      <c r="B245" s="136"/>
      <c r="C245" s="136"/>
      <c r="D245" s="136"/>
      <c r="E245" s="136"/>
      <c r="F245" s="136"/>
      <c r="G245" s="137"/>
    </row>
    <row r="246" customFormat="false" ht="15" hidden="false" customHeight="false" outlineLevel="0" collapsed="false">
      <c r="A246" s="14" t="s">
        <v>278</v>
      </c>
      <c r="B246" s="14" t="str">
        <f aca="false">COMUNICACIONES!A20</f>
        <v>06.02.05</v>
      </c>
      <c r="C246" s="14" t="s">
        <v>1134</v>
      </c>
      <c r="D246" s="14"/>
    </row>
    <row r="247" customFormat="false" ht="15" hidden="false" customHeight="false" outlineLevel="0" collapsed="false">
      <c r="A247" s="14" t="s">
        <v>279</v>
      </c>
      <c r="B247" s="14" t="s">
        <v>326</v>
      </c>
      <c r="C247" s="36" t="s">
        <v>281</v>
      </c>
      <c r="D247" s="52" t="n">
        <v>3</v>
      </c>
      <c r="E247" s="36" t="s">
        <v>282</v>
      </c>
      <c r="F247" s="52" t="n">
        <f aca="false">D247</f>
        <v>3</v>
      </c>
      <c r="G247" s="14" t="s">
        <v>283</v>
      </c>
      <c r="I247" s="36" t="s">
        <v>150</v>
      </c>
      <c r="J247" s="53" t="n">
        <f aca="false">J252+J255+J258</f>
        <v>15436.0049333333</v>
      </c>
    </row>
    <row r="248" customFormat="false" ht="15" hidden="false" customHeight="false" outlineLevel="0" collapsed="false">
      <c r="A248" s="14" t="s">
        <v>284</v>
      </c>
      <c r="B248" s="14" t="s">
        <v>285</v>
      </c>
      <c r="F248" s="36" t="s">
        <v>123</v>
      </c>
      <c r="G248" s="36" t="s">
        <v>286</v>
      </c>
      <c r="H248" s="36" t="s">
        <v>287</v>
      </c>
      <c r="I248" s="36" t="s">
        <v>288</v>
      </c>
      <c r="J248" s="36" t="s">
        <v>289</v>
      </c>
      <c r="O248" s="14"/>
    </row>
    <row r="249" customFormat="false" ht="15" hidden="false" customHeight="false" outlineLevel="0" collapsed="false">
      <c r="B249" s="54" t="s">
        <v>290</v>
      </c>
      <c r="O249" s="14"/>
    </row>
    <row r="250" customFormat="false" ht="15" hidden="false" customHeight="false" outlineLevel="0" collapsed="false">
      <c r="B250" s="1" t="s">
        <v>680</v>
      </c>
      <c r="F250" s="55" t="s">
        <v>292</v>
      </c>
      <c r="G250" s="56" t="n">
        <v>1</v>
      </c>
      <c r="H250" s="57" t="n">
        <f aca="false">G250*8/$D$247</f>
        <v>2.66666666666667</v>
      </c>
      <c r="I250" s="28" t="n">
        <v>22.66</v>
      </c>
      <c r="J250" s="28" t="n">
        <f aca="false">H250*I250</f>
        <v>60.4266666666667</v>
      </c>
      <c r="O250" s="14"/>
    </row>
    <row r="251" customFormat="false" ht="15" hidden="false" customHeight="false" outlineLevel="0" collapsed="false">
      <c r="B251" s="1" t="s">
        <v>1173</v>
      </c>
      <c r="F251" s="55" t="s">
        <v>292</v>
      </c>
      <c r="G251" s="56" t="n">
        <v>1</v>
      </c>
      <c r="H251" s="57" t="n">
        <f aca="false">G251*8/$D$247</f>
        <v>2.66666666666667</v>
      </c>
      <c r="I251" s="1" t="n">
        <v>26.11</v>
      </c>
      <c r="J251" s="28" t="n">
        <f aca="false">H251*I251</f>
        <v>69.6266666666667</v>
      </c>
      <c r="O251" s="14"/>
    </row>
    <row r="252" customFormat="false" ht="15" hidden="false" customHeight="false" outlineLevel="0" collapsed="false">
      <c r="F252" s="55"/>
      <c r="G252" s="56"/>
      <c r="H252" s="57"/>
      <c r="J252" s="53" t="n">
        <f aca="false">SUM(J250:J251)</f>
        <v>130.053333333333</v>
      </c>
      <c r="O252" s="14"/>
    </row>
    <row r="253" customFormat="false" ht="15" hidden="false" customHeight="false" outlineLevel="0" collapsed="false">
      <c r="B253" s="54" t="s">
        <v>654</v>
      </c>
      <c r="F253" s="55"/>
      <c r="G253" s="56"/>
      <c r="H253" s="57"/>
      <c r="I253" s="57"/>
      <c r="J253" s="28"/>
    </row>
    <row r="254" customFormat="false" ht="15" hidden="false" customHeight="false" outlineLevel="0" collapsed="false">
      <c r="B254" s="1" t="s">
        <v>1199</v>
      </c>
      <c r="F254" s="55" t="s">
        <v>150</v>
      </c>
      <c r="G254" s="56"/>
      <c r="H254" s="57" t="n">
        <v>1</v>
      </c>
      <c r="I254" s="1" t="n">
        <v>15302.05</v>
      </c>
      <c r="J254" s="28" t="n">
        <f aca="false">H254*I254</f>
        <v>15302.05</v>
      </c>
    </row>
    <row r="255" customFormat="false" ht="15" hidden="false" customHeight="false" outlineLevel="0" collapsed="false">
      <c r="J255" s="53" t="n">
        <f aca="false">SUM(J254:J254)</f>
        <v>15302.05</v>
      </c>
    </row>
    <row r="256" customFormat="false" ht="15" hidden="false" customHeight="false" outlineLevel="0" collapsed="false">
      <c r="B256" s="54" t="s">
        <v>310</v>
      </c>
    </row>
    <row r="257" customFormat="false" ht="15" hidden="false" customHeight="false" outlineLevel="0" collapsed="false">
      <c r="B257" s="1" t="s">
        <v>311</v>
      </c>
      <c r="F257" s="55" t="s">
        <v>312</v>
      </c>
      <c r="H257" s="57" t="n">
        <v>3</v>
      </c>
      <c r="I257" s="28" t="n">
        <f aca="false">J252</f>
        <v>130.053333333333</v>
      </c>
      <c r="J257" s="28" t="n">
        <f aca="false">H257%*I257</f>
        <v>3.9016</v>
      </c>
    </row>
    <row r="258" customFormat="false" ht="15" hidden="false" customHeight="false" outlineLevel="0" collapsed="false">
      <c r="A258" s="60"/>
      <c r="B258" s="60"/>
      <c r="C258" s="60"/>
      <c r="D258" s="60"/>
      <c r="E258" s="60"/>
      <c r="F258" s="60"/>
      <c r="G258" s="60"/>
      <c r="H258" s="60"/>
      <c r="I258" s="80"/>
      <c r="J258" s="61" t="n">
        <f aca="false">SUM(J257)</f>
        <v>3.9016</v>
      </c>
    </row>
    <row r="259" customFormat="false" ht="15" hidden="false" customHeight="false" outlineLevel="0" collapsed="false">
      <c r="A259" s="136"/>
      <c r="B259" s="136"/>
      <c r="C259" s="136"/>
      <c r="D259" s="136"/>
      <c r="E259" s="136"/>
      <c r="F259" s="136"/>
      <c r="G259" s="136"/>
    </row>
    <row r="260" customFormat="false" ht="15" hidden="false" customHeight="false" outlineLevel="0" collapsed="false">
      <c r="A260" s="14" t="s">
        <v>278</v>
      </c>
      <c r="B260" s="14" t="str">
        <f aca="false">COMUNICACIONES!A21</f>
        <v>06.02.06</v>
      </c>
      <c r="C260" s="14" t="s">
        <v>1136</v>
      </c>
      <c r="D260" s="14"/>
    </row>
    <row r="261" customFormat="false" ht="15" hidden="false" customHeight="false" outlineLevel="0" collapsed="false">
      <c r="A261" s="14" t="s">
        <v>279</v>
      </c>
      <c r="B261" s="14" t="s">
        <v>326</v>
      </c>
      <c r="C261" s="36" t="s">
        <v>281</v>
      </c>
      <c r="D261" s="52" t="n">
        <v>3</v>
      </c>
      <c r="E261" s="36" t="s">
        <v>282</v>
      </c>
      <c r="F261" s="52" t="n">
        <f aca="false">D261</f>
        <v>3</v>
      </c>
      <c r="G261" s="14" t="s">
        <v>283</v>
      </c>
      <c r="I261" s="36" t="s">
        <v>150</v>
      </c>
      <c r="J261" s="53" t="n">
        <f aca="false">J266+J269+J272</f>
        <v>14367.0049333333</v>
      </c>
    </row>
    <row r="262" customFormat="false" ht="15" hidden="false" customHeight="false" outlineLevel="0" collapsed="false">
      <c r="A262" s="14" t="s">
        <v>284</v>
      </c>
      <c r="B262" s="14" t="s">
        <v>285</v>
      </c>
      <c r="F262" s="36" t="s">
        <v>123</v>
      </c>
      <c r="G262" s="36" t="s">
        <v>286</v>
      </c>
      <c r="H262" s="36" t="s">
        <v>287</v>
      </c>
      <c r="I262" s="36" t="s">
        <v>288</v>
      </c>
      <c r="J262" s="36" t="s">
        <v>289</v>
      </c>
    </row>
    <row r="263" customFormat="false" ht="15" hidden="false" customHeight="false" outlineLevel="0" collapsed="false">
      <c r="B263" s="54" t="s">
        <v>290</v>
      </c>
    </row>
    <row r="264" customFormat="false" ht="15" hidden="false" customHeight="false" outlineLevel="0" collapsed="false">
      <c r="B264" s="1" t="s">
        <v>680</v>
      </c>
      <c r="F264" s="55" t="s">
        <v>292</v>
      </c>
      <c r="G264" s="56" t="n">
        <v>1</v>
      </c>
      <c r="H264" s="57" t="n">
        <f aca="false">G264*8/$D$261</f>
        <v>2.66666666666667</v>
      </c>
      <c r="I264" s="28" t="n">
        <v>22.66</v>
      </c>
      <c r="J264" s="28" t="n">
        <f aca="false">H264*I264</f>
        <v>60.4266666666667</v>
      </c>
    </row>
    <row r="265" customFormat="false" ht="15" hidden="false" customHeight="false" outlineLevel="0" collapsed="false">
      <c r="B265" s="1" t="s">
        <v>1173</v>
      </c>
      <c r="F265" s="55" t="s">
        <v>292</v>
      </c>
      <c r="G265" s="56" t="n">
        <v>1</v>
      </c>
      <c r="H265" s="57" t="n">
        <f aca="false">G265*8/$D$261</f>
        <v>2.66666666666667</v>
      </c>
      <c r="I265" s="1" t="n">
        <v>26.11</v>
      </c>
      <c r="J265" s="28" t="n">
        <f aca="false">H265*I265</f>
        <v>69.6266666666667</v>
      </c>
    </row>
    <row r="266" customFormat="false" ht="15" hidden="false" customHeight="false" outlineLevel="0" collapsed="false">
      <c r="F266" s="55"/>
      <c r="G266" s="56"/>
      <c r="H266" s="57"/>
      <c r="J266" s="53" t="n">
        <f aca="false">SUM(J264:J265)</f>
        <v>130.053333333333</v>
      </c>
    </row>
    <row r="267" customFormat="false" ht="15" hidden="false" customHeight="false" outlineLevel="0" collapsed="false">
      <c r="B267" s="54" t="s">
        <v>654</v>
      </c>
      <c r="F267" s="55"/>
      <c r="G267" s="56"/>
      <c r="H267" s="57"/>
      <c r="I267" s="57"/>
      <c r="J267" s="28"/>
    </row>
    <row r="268" customFormat="false" ht="15" hidden="false" customHeight="false" outlineLevel="0" collapsed="false">
      <c r="B268" s="1" t="s">
        <v>1200</v>
      </c>
      <c r="F268" s="55" t="s">
        <v>150</v>
      </c>
      <c r="G268" s="56"/>
      <c r="H268" s="57" t="n">
        <v>1</v>
      </c>
      <c r="I268" s="1" t="n">
        <v>14233.05</v>
      </c>
      <c r="J268" s="28" t="n">
        <f aca="false">H268*I268</f>
        <v>14233.05</v>
      </c>
    </row>
    <row r="269" customFormat="false" ht="15" hidden="false" customHeight="false" outlineLevel="0" collapsed="false">
      <c r="J269" s="53" t="n">
        <f aca="false">SUM(J268:J268)</f>
        <v>14233.05</v>
      </c>
    </row>
    <row r="270" customFormat="false" ht="15" hidden="false" customHeight="false" outlineLevel="0" collapsed="false">
      <c r="B270" s="54" t="s">
        <v>310</v>
      </c>
    </row>
    <row r="271" customFormat="false" ht="15" hidden="false" customHeight="false" outlineLevel="0" collapsed="false">
      <c r="B271" s="1" t="s">
        <v>311</v>
      </c>
      <c r="F271" s="55" t="s">
        <v>312</v>
      </c>
      <c r="H271" s="57" t="n">
        <v>3</v>
      </c>
      <c r="I271" s="28" t="n">
        <f aca="false">J266</f>
        <v>130.053333333333</v>
      </c>
      <c r="J271" s="28" t="n">
        <f aca="false">H271%*I271</f>
        <v>3.9016</v>
      </c>
    </row>
    <row r="272" customFormat="false" ht="15" hidden="false" customHeight="false" outlineLevel="0" collapsed="false">
      <c r="A272" s="60"/>
      <c r="B272" s="60"/>
      <c r="C272" s="60"/>
      <c r="D272" s="60"/>
      <c r="E272" s="60"/>
      <c r="F272" s="60"/>
      <c r="G272" s="60"/>
      <c r="H272" s="60"/>
      <c r="I272" s="80"/>
      <c r="J272" s="61" t="n">
        <f aca="false">SUM(J271)</f>
        <v>3.9016</v>
      </c>
    </row>
    <row r="273" customFormat="false" ht="15" hidden="false" customHeight="false" outlineLevel="0" collapsed="false">
      <c r="A273" s="136"/>
      <c r="B273" s="137"/>
      <c r="C273" s="136"/>
      <c r="D273" s="137"/>
      <c r="E273" s="137"/>
      <c r="F273" s="137"/>
      <c r="G273" s="137"/>
    </row>
    <row r="274" customFormat="false" ht="15" hidden="false" customHeight="false" outlineLevel="0" collapsed="false">
      <c r="A274" s="14" t="s">
        <v>278</v>
      </c>
      <c r="B274" s="14" t="str">
        <f aca="false">COMUNICACIONES!A22</f>
        <v>06.02.07</v>
      </c>
      <c r="C274" s="14" t="s">
        <v>1138</v>
      </c>
      <c r="D274" s="14"/>
    </row>
    <row r="275" customFormat="false" ht="15" hidden="false" customHeight="false" outlineLevel="0" collapsed="false">
      <c r="A275" s="14" t="s">
        <v>279</v>
      </c>
      <c r="B275" s="14" t="s">
        <v>326</v>
      </c>
      <c r="C275" s="36" t="s">
        <v>281</v>
      </c>
      <c r="D275" s="52" t="n">
        <v>4</v>
      </c>
      <c r="E275" s="36" t="s">
        <v>282</v>
      </c>
      <c r="F275" s="52" t="n">
        <f aca="false">D275</f>
        <v>4</v>
      </c>
      <c r="G275" s="14" t="s">
        <v>283</v>
      </c>
      <c r="I275" s="36" t="s">
        <v>150</v>
      </c>
      <c r="J275" s="53" t="n">
        <f aca="false">J280+J283+J286</f>
        <v>1343.8062</v>
      </c>
    </row>
    <row r="276" customFormat="false" ht="15" hidden="false" customHeight="false" outlineLevel="0" collapsed="false">
      <c r="A276" s="14" t="s">
        <v>284</v>
      </c>
      <c r="B276" s="14" t="s">
        <v>285</v>
      </c>
      <c r="F276" s="36" t="s">
        <v>123</v>
      </c>
      <c r="G276" s="36" t="s">
        <v>286</v>
      </c>
      <c r="H276" s="36" t="s">
        <v>287</v>
      </c>
      <c r="I276" s="36" t="s">
        <v>288</v>
      </c>
      <c r="J276" s="36" t="s">
        <v>289</v>
      </c>
    </row>
    <row r="277" customFormat="false" ht="15" hidden="false" customHeight="false" outlineLevel="0" collapsed="false">
      <c r="B277" s="54" t="s">
        <v>290</v>
      </c>
    </row>
    <row r="278" customFormat="false" ht="15" hidden="false" customHeight="false" outlineLevel="0" collapsed="false">
      <c r="B278" s="1" t="s">
        <v>680</v>
      </c>
      <c r="F278" s="55" t="s">
        <v>292</v>
      </c>
      <c r="G278" s="56" t="n">
        <v>1</v>
      </c>
      <c r="H278" s="57" t="n">
        <f aca="false">G278*8/$D$275</f>
        <v>2</v>
      </c>
      <c r="I278" s="28" t="n">
        <v>22.66</v>
      </c>
      <c r="J278" s="28" t="n">
        <f aca="false">H278*I278</f>
        <v>45.32</v>
      </c>
    </row>
    <row r="279" customFormat="false" ht="15" hidden="false" customHeight="false" outlineLevel="0" collapsed="false">
      <c r="B279" s="1" t="s">
        <v>1173</v>
      </c>
      <c r="F279" s="55" t="s">
        <v>292</v>
      </c>
      <c r="G279" s="56" t="n">
        <v>1</v>
      </c>
      <c r="H279" s="57" t="n">
        <f aca="false">G279*8/$D$275</f>
        <v>2</v>
      </c>
      <c r="I279" s="1" t="n">
        <v>26.11</v>
      </c>
      <c r="J279" s="28" t="n">
        <f aca="false">H279*I279</f>
        <v>52.22</v>
      </c>
    </row>
    <row r="280" customFormat="false" ht="15" hidden="false" customHeight="false" outlineLevel="0" collapsed="false">
      <c r="F280" s="55"/>
      <c r="G280" s="56"/>
      <c r="H280" s="57"/>
      <c r="J280" s="53" t="n">
        <f aca="false">SUM(J278:J279)</f>
        <v>97.54</v>
      </c>
    </row>
    <row r="281" customFormat="false" ht="15" hidden="false" customHeight="false" outlineLevel="0" collapsed="false">
      <c r="B281" s="54" t="s">
        <v>654</v>
      </c>
      <c r="F281" s="55"/>
      <c r="G281" s="56"/>
      <c r="H281" s="57"/>
      <c r="I281" s="57"/>
      <c r="J281" s="28"/>
    </row>
    <row r="282" customFormat="false" ht="15" hidden="false" customHeight="false" outlineLevel="0" collapsed="false">
      <c r="B282" s="1" t="s">
        <v>1201</v>
      </c>
      <c r="F282" s="55" t="s">
        <v>150</v>
      </c>
      <c r="G282" s="56"/>
      <c r="H282" s="57" t="n">
        <v>1</v>
      </c>
      <c r="I282" s="1" t="n">
        <v>1243.34</v>
      </c>
      <c r="J282" s="28" t="n">
        <f aca="false">H282*I282</f>
        <v>1243.34</v>
      </c>
    </row>
    <row r="283" customFormat="false" ht="15" hidden="false" customHeight="false" outlineLevel="0" collapsed="false">
      <c r="J283" s="53" t="n">
        <f aca="false">SUM(J282:J282)</f>
        <v>1243.34</v>
      </c>
    </row>
    <row r="284" customFormat="false" ht="15" hidden="false" customHeight="false" outlineLevel="0" collapsed="false">
      <c r="B284" s="54" t="s">
        <v>310</v>
      </c>
    </row>
    <row r="285" customFormat="false" ht="15" hidden="false" customHeight="false" outlineLevel="0" collapsed="false">
      <c r="B285" s="1" t="s">
        <v>311</v>
      </c>
      <c r="F285" s="55" t="s">
        <v>312</v>
      </c>
      <c r="H285" s="57" t="n">
        <v>3</v>
      </c>
      <c r="I285" s="28" t="n">
        <f aca="false">J280</f>
        <v>97.54</v>
      </c>
      <c r="J285" s="28" t="n">
        <f aca="false">H285%*I285</f>
        <v>2.9262</v>
      </c>
    </row>
    <row r="286" customFormat="false" ht="15" hidden="false" customHeight="false" outlineLevel="0" collapsed="false">
      <c r="A286" s="60"/>
      <c r="B286" s="60"/>
      <c r="C286" s="60"/>
      <c r="D286" s="60"/>
      <c r="E286" s="60"/>
      <c r="F286" s="60"/>
      <c r="G286" s="60"/>
      <c r="H286" s="60"/>
      <c r="I286" s="80"/>
      <c r="J286" s="61" t="n">
        <f aca="false">SUM(J285)</f>
        <v>2.9262</v>
      </c>
    </row>
    <row r="287" customFormat="false" ht="15" hidden="false" customHeight="false" outlineLevel="0" collapsed="false">
      <c r="A287" s="132"/>
      <c r="B287" s="137"/>
      <c r="C287" s="136"/>
      <c r="D287" s="136"/>
      <c r="E287" s="132"/>
      <c r="F287" s="138"/>
      <c r="G287" s="136"/>
    </row>
    <row r="288" customFormat="false" ht="15" hidden="false" customHeight="false" outlineLevel="0" collapsed="false">
      <c r="A288" s="14" t="s">
        <v>278</v>
      </c>
      <c r="B288" s="14" t="str">
        <f aca="false">COMUNICACIONES!A23</f>
        <v>06.02.08</v>
      </c>
      <c r="C288" s="14" t="s">
        <v>1140</v>
      </c>
      <c r="D288" s="14"/>
    </row>
    <row r="289" customFormat="false" ht="15" hidden="false" customHeight="false" outlineLevel="0" collapsed="false">
      <c r="A289" s="14" t="s">
        <v>279</v>
      </c>
      <c r="B289" s="14" t="s">
        <v>326</v>
      </c>
      <c r="C289" s="36" t="s">
        <v>281</v>
      </c>
      <c r="D289" s="52" t="n">
        <v>4</v>
      </c>
      <c r="E289" s="36" t="s">
        <v>282</v>
      </c>
      <c r="F289" s="52" t="n">
        <f aca="false">D289</f>
        <v>4</v>
      </c>
      <c r="G289" s="14" t="s">
        <v>283</v>
      </c>
      <c r="I289" s="36" t="s">
        <v>150</v>
      </c>
      <c r="J289" s="53" t="n">
        <f aca="false">J294+J297+J300</f>
        <v>456.6362</v>
      </c>
    </row>
    <row r="290" customFormat="false" ht="15" hidden="false" customHeight="false" outlineLevel="0" collapsed="false">
      <c r="A290" s="14" t="s">
        <v>284</v>
      </c>
      <c r="B290" s="14" t="s">
        <v>285</v>
      </c>
      <c r="F290" s="36" t="s">
        <v>123</v>
      </c>
      <c r="G290" s="36" t="s">
        <v>286</v>
      </c>
      <c r="H290" s="36" t="s">
        <v>287</v>
      </c>
      <c r="I290" s="36" t="s">
        <v>288</v>
      </c>
      <c r="J290" s="36" t="s">
        <v>289</v>
      </c>
    </row>
    <row r="291" customFormat="false" ht="15" hidden="false" customHeight="false" outlineLevel="0" collapsed="false">
      <c r="B291" s="54" t="s">
        <v>290</v>
      </c>
    </row>
    <row r="292" customFormat="false" ht="15" hidden="false" customHeight="false" outlineLevel="0" collapsed="false">
      <c r="B292" s="1" t="s">
        <v>680</v>
      </c>
      <c r="F292" s="55" t="s">
        <v>292</v>
      </c>
      <c r="G292" s="56" t="n">
        <v>1</v>
      </c>
      <c r="H292" s="57" t="n">
        <f aca="false">G292*8/$D$289</f>
        <v>2</v>
      </c>
      <c r="I292" s="28" t="n">
        <v>22.66</v>
      </c>
      <c r="J292" s="28" t="n">
        <f aca="false">H292*I292</f>
        <v>45.32</v>
      </c>
    </row>
    <row r="293" customFormat="false" ht="15" hidden="false" customHeight="false" outlineLevel="0" collapsed="false">
      <c r="B293" s="1" t="s">
        <v>1173</v>
      </c>
      <c r="F293" s="55" t="s">
        <v>292</v>
      </c>
      <c r="G293" s="56" t="n">
        <v>1</v>
      </c>
      <c r="H293" s="57" t="n">
        <f aca="false">G293*8/$D$289</f>
        <v>2</v>
      </c>
      <c r="I293" s="1" t="n">
        <v>26.11</v>
      </c>
      <c r="J293" s="28" t="n">
        <f aca="false">H293*I293</f>
        <v>52.22</v>
      </c>
    </row>
    <row r="294" customFormat="false" ht="15" hidden="false" customHeight="false" outlineLevel="0" collapsed="false">
      <c r="F294" s="55"/>
      <c r="G294" s="56"/>
      <c r="H294" s="57"/>
      <c r="J294" s="53" t="n">
        <f aca="false">SUM(J292:J293)</f>
        <v>97.54</v>
      </c>
    </row>
    <row r="295" customFormat="false" ht="15" hidden="false" customHeight="false" outlineLevel="0" collapsed="false">
      <c r="B295" s="54" t="s">
        <v>654</v>
      </c>
      <c r="F295" s="55"/>
      <c r="G295" s="56"/>
      <c r="H295" s="57"/>
      <c r="I295" s="57"/>
      <c r="J295" s="28"/>
    </row>
    <row r="296" customFormat="false" ht="15" hidden="false" customHeight="false" outlineLevel="0" collapsed="false">
      <c r="B296" s="1" t="s">
        <v>1202</v>
      </c>
      <c r="F296" s="55" t="s">
        <v>150</v>
      </c>
      <c r="G296" s="56"/>
      <c r="H296" s="57" t="n">
        <v>1</v>
      </c>
      <c r="I296" s="1" t="n">
        <v>356.17</v>
      </c>
      <c r="J296" s="28" t="n">
        <f aca="false">H296*I296</f>
        <v>356.17</v>
      </c>
    </row>
    <row r="297" customFormat="false" ht="15" hidden="false" customHeight="false" outlineLevel="0" collapsed="false">
      <c r="J297" s="53" t="n">
        <f aca="false">SUM(J296:J296)</f>
        <v>356.17</v>
      </c>
    </row>
    <row r="298" customFormat="false" ht="15" hidden="false" customHeight="false" outlineLevel="0" collapsed="false">
      <c r="B298" s="54" t="s">
        <v>310</v>
      </c>
    </row>
    <row r="299" customFormat="false" ht="15" hidden="false" customHeight="false" outlineLevel="0" collapsed="false">
      <c r="B299" s="1" t="s">
        <v>311</v>
      </c>
      <c r="F299" s="55" t="s">
        <v>312</v>
      </c>
      <c r="H299" s="57" t="n">
        <v>3</v>
      </c>
      <c r="I299" s="28" t="n">
        <f aca="false">J294</f>
        <v>97.54</v>
      </c>
      <c r="J299" s="28" t="n">
        <f aca="false">H299%*I299</f>
        <v>2.9262</v>
      </c>
    </row>
    <row r="300" customFormat="false" ht="15" hidden="false" customHeight="false" outlineLevel="0" collapsed="false">
      <c r="A300" s="60"/>
      <c r="B300" s="60"/>
      <c r="C300" s="60"/>
      <c r="D300" s="60"/>
      <c r="E300" s="60"/>
      <c r="F300" s="60"/>
      <c r="G300" s="60"/>
      <c r="H300" s="60"/>
      <c r="I300" s="80"/>
      <c r="J300" s="61" t="n">
        <f aca="false">SUM(J299)</f>
        <v>2.9262</v>
      </c>
    </row>
    <row r="301" customFormat="false" ht="15" hidden="false" customHeight="false" outlineLevel="0" collapsed="false">
      <c r="A301" s="132"/>
      <c r="B301" s="132"/>
      <c r="C301" s="136"/>
      <c r="D301" s="136"/>
      <c r="E301" s="132"/>
      <c r="F301" s="139"/>
      <c r="G301" s="132"/>
    </row>
    <row r="302" customFormat="false" ht="15" hidden="false" customHeight="false" outlineLevel="0" collapsed="false">
      <c r="A302" s="14" t="s">
        <v>278</v>
      </c>
      <c r="B302" s="14" t="str">
        <f aca="false">COMUNICACIONES!A24</f>
        <v>06.02.09</v>
      </c>
      <c r="C302" s="14" t="s">
        <v>1142</v>
      </c>
      <c r="D302" s="14"/>
    </row>
    <row r="303" customFormat="false" ht="15" hidden="false" customHeight="false" outlineLevel="0" collapsed="false">
      <c r="A303" s="14" t="s">
        <v>279</v>
      </c>
      <c r="B303" s="14" t="s">
        <v>326</v>
      </c>
      <c r="C303" s="36" t="s">
        <v>281</v>
      </c>
      <c r="D303" s="52" t="n">
        <v>4</v>
      </c>
      <c r="E303" s="36" t="s">
        <v>282</v>
      </c>
      <c r="F303" s="52" t="n">
        <f aca="false">D303</f>
        <v>4</v>
      </c>
      <c r="G303" s="14" t="s">
        <v>283</v>
      </c>
      <c r="I303" s="36" t="s">
        <v>150</v>
      </c>
      <c r="J303" s="53" t="n">
        <f aca="false">J308+J311+J315</f>
        <v>168.5562</v>
      </c>
    </row>
    <row r="304" customFormat="false" ht="15" hidden="false" customHeight="false" outlineLevel="0" collapsed="false">
      <c r="A304" s="14" t="s">
        <v>284</v>
      </c>
      <c r="B304" s="14" t="s">
        <v>285</v>
      </c>
      <c r="F304" s="36" t="s">
        <v>123</v>
      </c>
      <c r="G304" s="36" t="s">
        <v>286</v>
      </c>
      <c r="H304" s="36" t="s">
        <v>287</v>
      </c>
      <c r="I304" s="36" t="s">
        <v>288</v>
      </c>
      <c r="J304" s="36" t="s">
        <v>289</v>
      </c>
    </row>
    <row r="305" customFormat="false" ht="15" hidden="false" customHeight="false" outlineLevel="0" collapsed="false">
      <c r="B305" s="54" t="s">
        <v>290</v>
      </c>
    </row>
    <row r="306" customFormat="false" ht="15" hidden="false" customHeight="false" outlineLevel="0" collapsed="false">
      <c r="B306" s="1" t="s">
        <v>680</v>
      </c>
      <c r="F306" s="55" t="s">
        <v>292</v>
      </c>
      <c r="G306" s="56" t="n">
        <v>1</v>
      </c>
      <c r="H306" s="57" t="n">
        <f aca="false">G306*8/$D$303</f>
        <v>2</v>
      </c>
      <c r="I306" s="28" t="n">
        <v>22.66</v>
      </c>
      <c r="J306" s="28" t="n">
        <f aca="false">H306*I306</f>
        <v>45.32</v>
      </c>
    </row>
    <row r="307" customFormat="false" ht="15" hidden="false" customHeight="false" outlineLevel="0" collapsed="false">
      <c r="B307" s="1" t="s">
        <v>1173</v>
      </c>
      <c r="F307" s="55" t="s">
        <v>292</v>
      </c>
      <c r="G307" s="56" t="n">
        <v>1</v>
      </c>
      <c r="H307" s="57" t="n">
        <f aca="false">G307*8/$D$303</f>
        <v>2</v>
      </c>
      <c r="I307" s="1" t="n">
        <v>26.11</v>
      </c>
      <c r="J307" s="28" t="n">
        <f aca="false">H307*I307</f>
        <v>52.22</v>
      </c>
    </row>
    <row r="308" customFormat="false" ht="15" hidden="false" customHeight="false" outlineLevel="0" collapsed="false">
      <c r="F308" s="55"/>
      <c r="G308" s="56"/>
      <c r="H308" s="57"/>
      <c r="J308" s="53" t="n">
        <f aca="false">SUM(J306:J307)</f>
        <v>97.54</v>
      </c>
    </row>
    <row r="309" customFormat="false" ht="15" hidden="false" customHeight="false" outlineLevel="0" collapsed="false">
      <c r="B309" s="54" t="s">
        <v>654</v>
      </c>
      <c r="F309" s="55"/>
      <c r="G309" s="56"/>
      <c r="H309" s="57"/>
      <c r="I309" s="57"/>
      <c r="J309" s="28"/>
    </row>
    <row r="310" customFormat="false" ht="15" hidden="false" customHeight="false" outlineLevel="0" collapsed="false">
      <c r="B310" s="1" t="s">
        <v>1203</v>
      </c>
      <c r="F310" s="55" t="s">
        <v>150</v>
      </c>
      <c r="G310" s="56"/>
      <c r="H310" s="57" t="n">
        <v>1</v>
      </c>
      <c r="I310" s="1" t="n">
        <v>47.41</v>
      </c>
      <c r="J310" s="28" t="n">
        <f aca="false">H310*I310</f>
        <v>47.41</v>
      </c>
    </row>
    <row r="311" customFormat="false" ht="15" hidden="false" customHeight="false" outlineLevel="0" collapsed="false">
      <c r="J311" s="53" t="n">
        <f aca="false">SUM(J310:J310)</f>
        <v>47.41</v>
      </c>
    </row>
    <row r="312" customFormat="false" ht="15" hidden="false" customHeight="false" outlineLevel="0" collapsed="false">
      <c r="B312" s="54" t="s">
        <v>310</v>
      </c>
    </row>
    <row r="313" customFormat="false" ht="15" hidden="false" customHeight="false" outlineLevel="0" collapsed="false">
      <c r="B313" s="1" t="s">
        <v>311</v>
      </c>
      <c r="F313" s="55" t="s">
        <v>312</v>
      </c>
      <c r="H313" s="57" t="n">
        <v>3</v>
      </c>
      <c r="I313" s="28" t="n">
        <f aca="false">J308</f>
        <v>97.54</v>
      </c>
      <c r="J313" s="28" t="n">
        <f aca="false">H313%*I313</f>
        <v>2.9262</v>
      </c>
    </row>
    <row r="314" customFormat="false" ht="15" hidden="false" customHeight="false" outlineLevel="0" collapsed="false">
      <c r="B314" s="1" t="s">
        <v>866</v>
      </c>
      <c r="F314" s="55" t="s">
        <v>867</v>
      </c>
      <c r="G314" s="56" t="n">
        <v>1</v>
      </c>
      <c r="H314" s="57" t="n">
        <f aca="false">G314*8/$D$303</f>
        <v>2</v>
      </c>
      <c r="I314" s="88" t="n">
        <v>10.34</v>
      </c>
      <c r="J314" s="28" t="n">
        <f aca="false">H314*I314</f>
        <v>20.68</v>
      </c>
    </row>
    <row r="315" customFormat="false" ht="15" hidden="false" customHeight="false" outlineLevel="0" collapsed="false">
      <c r="A315" s="60"/>
      <c r="B315" s="60"/>
      <c r="C315" s="60"/>
      <c r="D315" s="60"/>
      <c r="E315" s="60"/>
      <c r="F315" s="60"/>
      <c r="G315" s="60"/>
      <c r="H315" s="60"/>
      <c r="I315" s="80"/>
      <c r="J315" s="61" t="n">
        <f aca="false">SUM(J313:J314)</f>
        <v>23.6062</v>
      </c>
    </row>
    <row r="316" customFormat="false" ht="15" hidden="false" customHeight="false" outlineLevel="0" collapsed="false">
      <c r="A316" s="140"/>
      <c r="B316" s="15"/>
      <c r="C316" s="15"/>
      <c r="D316" s="15"/>
      <c r="E316" s="15"/>
      <c r="F316" s="141"/>
      <c r="G316" s="15"/>
      <c r="H316" s="142"/>
      <c r="I316" s="143"/>
      <c r="J316" s="143"/>
    </row>
    <row r="317" customFormat="false" ht="15" hidden="false" customHeight="false" outlineLevel="0" collapsed="false">
      <c r="A317" s="2" t="s">
        <v>278</v>
      </c>
      <c r="B317" s="14" t="str">
        <f aca="false">COMUNICACIONES!A25</f>
        <v>06.02.10</v>
      </c>
      <c r="C317" s="2" t="s">
        <v>1144</v>
      </c>
      <c r="D317" s="2"/>
      <c r="E317" s="120"/>
      <c r="F317" s="120"/>
      <c r="G317" s="120"/>
      <c r="H317" s="120"/>
      <c r="I317" s="120"/>
      <c r="J317" s="120"/>
    </row>
    <row r="318" customFormat="false" ht="15" hidden="false" customHeight="false" outlineLevel="0" collapsed="false">
      <c r="A318" s="2" t="s">
        <v>279</v>
      </c>
      <c r="B318" s="2" t="s">
        <v>326</v>
      </c>
      <c r="C318" s="144" t="s">
        <v>281</v>
      </c>
      <c r="D318" s="145" t="n">
        <v>5</v>
      </c>
      <c r="E318" s="144" t="s">
        <v>282</v>
      </c>
      <c r="F318" s="145" t="n">
        <f aca="false">D318</f>
        <v>5</v>
      </c>
      <c r="G318" s="2" t="s">
        <v>283</v>
      </c>
      <c r="H318" s="120"/>
      <c r="I318" s="144" t="s">
        <v>150</v>
      </c>
      <c r="J318" s="146" t="n">
        <f aca="false">J323+J326+J330</f>
        <v>123.63752</v>
      </c>
    </row>
    <row r="319" customFormat="false" ht="15" hidden="false" customHeight="false" outlineLevel="0" collapsed="false">
      <c r="A319" s="2" t="s">
        <v>284</v>
      </c>
      <c r="B319" s="2" t="s">
        <v>285</v>
      </c>
      <c r="C319" s="120"/>
      <c r="D319" s="120"/>
      <c r="E319" s="120"/>
      <c r="F319" s="144" t="s">
        <v>123</v>
      </c>
      <c r="G319" s="144" t="s">
        <v>286</v>
      </c>
      <c r="H319" s="144" t="s">
        <v>287</v>
      </c>
      <c r="I319" s="144" t="s">
        <v>288</v>
      </c>
      <c r="J319" s="144" t="s">
        <v>289</v>
      </c>
    </row>
    <row r="320" customFormat="false" ht="15" hidden="false" customHeight="false" outlineLevel="0" collapsed="false">
      <c r="A320" s="120"/>
      <c r="B320" s="54" t="s">
        <v>290</v>
      </c>
      <c r="C320" s="120"/>
      <c r="D320" s="120"/>
      <c r="E320" s="120"/>
      <c r="F320" s="120"/>
      <c r="G320" s="120"/>
      <c r="H320" s="120"/>
      <c r="I320" s="120"/>
      <c r="J320" s="120"/>
    </row>
    <row r="321" customFormat="false" ht="15" hidden="false" customHeight="false" outlineLevel="0" collapsed="false">
      <c r="A321" s="120"/>
      <c r="B321" s="120" t="s">
        <v>293</v>
      </c>
      <c r="C321" s="120"/>
      <c r="D321" s="120"/>
      <c r="E321" s="120"/>
      <c r="F321" s="147" t="s">
        <v>292</v>
      </c>
      <c r="G321" s="148" t="n">
        <v>1</v>
      </c>
      <c r="H321" s="149" t="n">
        <f aca="false">G321*8/$D$318</f>
        <v>1.6</v>
      </c>
      <c r="I321" s="150" t="n">
        <v>23.6</v>
      </c>
      <c r="J321" s="150" t="n">
        <f aca="false">H321*I321</f>
        <v>37.76</v>
      </c>
    </row>
    <row r="322" customFormat="false" ht="15" hidden="false" customHeight="false" outlineLevel="0" collapsed="false">
      <c r="A322" s="120"/>
      <c r="B322" s="120" t="s">
        <v>1173</v>
      </c>
      <c r="C322" s="120"/>
      <c r="D322" s="120"/>
      <c r="E322" s="120"/>
      <c r="F322" s="147" t="s">
        <v>292</v>
      </c>
      <c r="G322" s="148" t="n">
        <v>1</v>
      </c>
      <c r="H322" s="149" t="n">
        <f aca="false">G322*8/$D$318</f>
        <v>1.6</v>
      </c>
      <c r="I322" s="120" t="n">
        <v>26.11</v>
      </c>
      <c r="J322" s="150" t="n">
        <f aca="false">H322*I322</f>
        <v>41.776</v>
      </c>
    </row>
    <row r="323" customFormat="false" ht="15" hidden="false" customHeight="false" outlineLevel="0" collapsed="false">
      <c r="A323" s="120"/>
      <c r="B323" s="120"/>
      <c r="C323" s="120"/>
      <c r="D323" s="120"/>
      <c r="E323" s="120"/>
      <c r="F323" s="147"/>
      <c r="G323" s="148"/>
      <c r="H323" s="149"/>
      <c r="I323" s="120"/>
      <c r="J323" s="146" t="n">
        <f aca="false">SUM(J321:J322)</f>
        <v>79.536</v>
      </c>
    </row>
    <row r="324" customFormat="false" ht="15" hidden="false" customHeight="false" outlineLevel="0" collapsed="false">
      <c r="A324" s="120"/>
      <c r="B324" s="54" t="s">
        <v>654</v>
      </c>
      <c r="C324" s="120"/>
      <c r="D324" s="120"/>
      <c r="E324" s="120"/>
      <c r="F324" s="147"/>
      <c r="G324" s="148"/>
      <c r="H324" s="149"/>
      <c r="I324" s="149"/>
      <c r="J324" s="150"/>
    </row>
    <row r="325" customFormat="false" ht="15" hidden="false" customHeight="false" outlineLevel="0" collapsed="false">
      <c r="A325" s="120"/>
      <c r="B325" s="120" t="s">
        <v>1203</v>
      </c>
      <c r="C325" s="120"/>
      <c r="D325" s="120"/>
      <c r="E325" s="120"/>
      <c r="F325" s="147" t="s">
        <v>150</v>
      </c>
      <c r="G325" s="120"/>
      <c r="H325" s="149" t="n">
        <v>1</v>
      </c>
      <c r="I325" s="150" t="n">
        <v>41.55</v>
      </c>
      <c r="J325" s="150" t="n">
        <f aca="false">H325*I325</f>
        <v>41.55</v>
      </c>
    </row>
    <row r="326" customFormat="false" ht="15" hidden="false" customHeight="false" outlineLevel="0" collapsed="false">
      <c r="A326" s="120"/>
      <c r="B326" s="120"/>
      <c r="C326" s="120"/>
      <c r="D326" s="120"/>
      <c r="E326" s="120"/>
      <c r="F326" s="120"/>
      <c r="G326" s="120"/>
      <c r="H326" s="120"/>
      <c r="I326" s="120"/>
      <c r="J326" s="146" t="n">
        <f aca="false">SUM(J325:J325)</f>
        <v>41.55</v>
      </c>
    </row>
    <row r="327" customFormat="false" ht="15" hidden="false" customHeight="false" outlineLevel="0" collapsed="false">
      <c r="A327" s="120"/>
      <c r="B327" s="54" t="s">
        <v>310</v>
      </c>
      <c r="C327" s="120"/>
      <c r="D327" s="120"/>
      <c r="E327" s="120"/>
      <c r="F327" s="120"/>
      <c r="G327" s="120"/>
      <c r="H327" s="120"/>
      <c r="I327" s="120"/>
      <c r="J327" s="120"/>
    </row>
    <row r="328" customFormat="false" ht="15" hidden="false" customHeight="false" outlineLevel="0" collapsed="false">
      <c r="A328" s="120"/>
      <c r="B328" s="120" t="s">
        <v>311</v>
      </c>
      <c r="C328" s="120"/>
      <c r="D328" s="120"/>
      <c r="E328" s="120"/>
      <c r="F328" s="147" t="s">
        <v>312</v>
      </c>
      <c r="G328" s="120"/>
      <c r="H328" s="149" t="n">
        <v>3</v>
      </c>
      <c r="I328" s="150" t="n">
        <f aca="false">J323</f>
        <v>79.536</v>
      </c>
      <c r="J328" s="150" t="n">
        <f aca="false">H328%*I328</f>
        <v>2.38608</v>
      </c>
    </row>
    <row r="329" customFormat="false" ht="15" hidden="false" customHeight="false" outlineLevel="0" collapsed="false">
      <c r="A329" s="120"/>
      <c r="B329" s="120" t="s">
        <v>866</v>
      </c>
      <c r="C329" s="120"/>
      <c r="D329" s="120"/>
      <c r="E329" s="120"/>
      <c r="F329" s="147" t="s">
        <v>867</v>
      </c>
      <c r="G329" s="148" t="n">
        <v>1</v>
      </c>
      <c r="H329" s="149" t="n">
        <f aca="false">G329*8/$D$318</f>
        <v>1.6</v>
      </c>
      <c r="I329" s="153" t="n">
        <v>10.34</v>
      </c>
      <c r="J329" s="150" t="n">
        <f aca="false">H329%*I329</f>
        <v>0.16544</v>
      </c>
    </row>
    <row r="330" customFormat="false" ht="15" hidden="false" customHeight="false" outlineLevel="0" collapsed="false">
      <c r="A330" s="154"/>
      <c r="B330" s="154"/>
      <c r="C330" s="154"/>
      <c r="D330" s="154"/>
      <c r="E330" s="154"/>
      <c r="F330" s="154"/>
      <c r="G330" s="154"/>
      <c r="H330" s="154"/>
      <c r="I330" s="155"/>
      <c r="J330" s="156" t="n">
        <f aca="false">SUM(J328:J329)</f>
        <v>2.55152</v>
      </c>
    </row>
    <row r="332" customFormat="false" ht="15" hidden="false" customHeight="false" outlineLevel="0" collapsed="false">
      <c r="A332" s="14" t="s">
        <v>278</v>
      </c>
      <c r="B332" s="14" t="str">
        <f aca="false">COMUNICACIONES!A26</f>
        <v>06.02.11</v>
      </c>
      <c r="C332" s="14" t="s">
        <v>1146</v>
      </c>
      <c r="D332" s="14"/>
    </row>
    <row r="333" customFormat="false" ht="15" hidden="false" customHeight="false" outlineLevel="0" collapsed="false">
      <c r="A333" s="14" t="s">
        <v>279</v>
      </c>
      <c r="B333" s="14" t="s">
        <v>326</v>
      </c>
      <c r="C333" s="36" t="s">
        <v>281</v>
      </c>
      <c r="D333" s="52" t="n">
        <v>4</v>
      </c>
      <c r="E333" s="36" t="s">
        <v>282</v>
      </c>
      <c r="F333" s="52" t="n">
        <f aca="false">D333</f>
        <v>4</v>
      </c>
      <c r="G333" s="14" t="s">
        <v>283</v>
      </c>
      <c r="I333" s="36" t="s">
        <v>150</v>
      </c>
      <c r="J333" s="53" t="n">
        <f aca="false">J338+J341+J345</f>
        <v>128.0294</v>
      </c>
      <c r="M333" s="14"/>
    </row>
    <row r="334" customFormat="false" ht="15" hidden="false" customHeight="false" outlineLevel="0" collapsed="false">
      <c r="A334" s="14" t="s">
        <v>284</v>
      </c>
      <c r="B334" s="14" t="s">
        <v>285</v>
      </c>
      <c r="F334" s="36" t="s">
        <v>123</v>
      </c>
      <c r="G334" s="36" t="s">
        <v>286</v>
      </c>
      <c r="H334" s="36" t="s">
        <v>287</v>
      </c>
      <c r="I334" s="36" t="s">
        <v>288</v>
      </c>
      <c r="J334" s="36" t="s">
        <v>289</v>
      </c>
      <c r="M334" s="14"/>
    </row>
    <row r="335" customFormat="false" ht="15" hidden="false" customHeight="false" outlineLevel="0" collapsed="false">
      <c r="B335" s="54" t="s">
        <v>290</v>
      </c>
      <c r="M335" s="14"/>
    </row>
    <row r="336" customFormat="false" ht="15" hidden="false" customHeight="false" outlineLevel="0" collapsed="false">
      <c r="B336" s="1" t="s">
        <v>293</v>
      </c>
      <c r="F336" s="55" t="s">
        <v>292</v>
      </c>
      <c r="G336" s="56" t="n">
        <v>1</v>
      </c>
      <c r="H336" s="57" t="n">
        <f aca="false">G336*8/$D$333</f>
        <v>2</v>
      </c>
      <c r="I336" s="28" t="n">
        <v>23.6</v>
      </c>
      <c r="J336" s="28" t="n">
        <f aca="false">H336*I336</f>
        <v>47.2</v>
      </c>
      <c r="M336" s="14"/>
    </row>
    <row r="337" customFormat="false" ht="15" hidden="false" customHeight="false" outlineLevel="0" collapsed="false">
      <c r="B337" s="1" t="s">
        <v>1173</v>
      </c>
      <c r="F337" s="55" t="s">
        <v>292</v>
      </c>
      <c r="G337" s="56" t="n">
        <v>1</v>
      </c>
      <c r="H337" s="57" t="n">
        <f aca="false">G337*8/$D$333</f>
        <v>2</v>
      </c>
      <c r="I337" s="1" t="n">
        <v>26.11</v>
      </c>
      <c r="J337" s="28" t="n">
        <f aca="false">H337*I337</f>
        <v>52.22</v>
      </c>
      <c r="M337" s="14"/>
    </row>
    <row r="338" customFormat="false" ht="15" hidden="false" customHeight="false" outlineLevel="0" collapsed="false">
      <c r="F338" s="55"/>
      <c r="G338" s="56"/>
      <c r="H338" s="57"/>
      <c r="J338" s="53" t="n">
        <f aca="false">SUM(J336:J337)</f>
        <v>99.42</v>
      </c>
      <c r="M338" s="14"/>
    </row>
    <row r="339" customFormat="false" ht="15" hidden="false" customHeight="false" outlineLevel="0" collapsed="false">
      <c r="B339" s="54" t="s">
        <v>654</v>
      </c>
      <c r="F339" s="55"/>
      <c r="G339" s="56"/>
      <c r="H339" s="57"/>
      <c r="I339" s="57"/>
      <c r="J339" s="28"/>
      <c r="M339" s="14"/>
    </row>
    <row r="340" customFormat="false" ht="15" hidden="false" customHeight="false" outlineLevel="0" collapsed="false">
      <c r="B340" s="1" t="s">
        <v>1203</v>
      </c>
      <c r="F340" s="55" t="s">
        <v>150</v>
      </c>
      <c r="H340" s="57" t="n">
        <v>1</v>
      </c>
      <c r="I340" s="28" t="n">
        <v>25.42</v>
      </c>
      <c r="J340" s="28" t="n">
        <f aca="false">H340*I340</f>
        <v>25.42</v>
      </c>
    </row>
    <row r="341" customFormat="false" ht="15" hidden="false" customHeight="false" outlineLevel="0" collapsed="false">
      <c r="J341" s="53" t="n">
        <f aca="false">SUM(J340:J340)</f>
        <v>25.42</v>
      </c>
    </row>
    <row r="342" customFormat="false" ht="15" hidden="false" customHeight="false" outlineLevel="0" collapsed="false">
      <c r="B342" s="54" t="s">
        <v>310</v>
      </c>
    </row>
    <row r="343" customFormat="false" ht="15" hidden="false" customHeight="false" outlineLevel="0" collapsed="false">
      <c r="B343" s="1" t="s">
        <v>311</v>
      </c>
      <c r="F343" s="55" t="s">
        <v>312</v>
      </c>
      <c r="H343" s="57" t="n">
        <v>3</v>
      </c>
      <c r="I343" s="28" t="n">
        <f aca="false">J338</f>
        <v>99.42</v>
      </c>
      <c r="J343" s="28" t="n">
        <f aca="false">H343%*I343</f>
        <v>2.9826</v>
      </c>
    </row>
    <row r="344" customFormat="false" ht="15" hidden="false" customHeight="false" outlineLevel="0" collapsed="false">
      <c r="B344" s="1" t="s">
        <v>866</v>
      </c>
      <c r="F344" s="55" t="s">
        <v>867</v>
      </c>
      <c r="G344" s="56" t="n">
        <v>1</v>
      </c>
      <c r="H344" s="57" t="n">
        <f aca="false">G344*8/$D$333</f>
        <v>2</v>
      </c>
      <c r="I344" s="88" t="n">
        <v>10.34</v>
      </c>
      <c r="J344" s="28" t="n">
        <f aca="false">H344%*I344</f>
        <v>0.2068</v>
      </c>
    </row>
    <row r="345" customFormat="false" ht="15" hidden="false" customHeight="false" outlineLevel="0" collapsed="false">
      <c r="A345" s="60"/>
      <c r="B345" s="60"/>
      <c r="C345" s="60"/>
      <c r="D345" s="60"/>
      <c r="E345" s="60"/>
      <c r="F345" s="60"/>
      <c r="G345" s="60"/>
      <c r="H345" s="60"/>
      <c r="I345" s="80"/>
      <c r="J345" s="61" t="n">
        <f aca="false">SUM(J343:J344)</f>
        <v>3.1894</v>
      </c>
    </row>
    <row r="347" customFormat="false" ht="15" hidden="false" customHeight="false" outlineLevel="0" collapsed="false">
      <c r="A347" s="14" t="s">
        <v>278</v>
      </c>
      <c r="B347" s="14" t="str">
        <f aca="false">COMUNICACIONES!A27</f>
        <v>06.02.12</v>
      </c>
      <c r="C347" s="14" t="s">
        <v>1142</v>
      </c>
      <c r="D347" s="14"/>
    </row>
    <row r="348" customFormat="false" ht="15" hidden="false" customHeight="false" outlineLevel="0" collapsed="false">
      <c r="A348" s="14" t="s">
        <v>279</v>
      </c>
      <c r="B348" s="14" t="s">
        <v>326</v>
      </c>
      <c r="C348" s="36" t="s">
        <v>281</v>
      </c>
      <c r="D348" s="52" t="n">
        <v>4</v>
      </c>
      <c r="E348" s="36" t="s">
        <v>282</v>
      </c>
      <c r="F348" s="52" t="n">
        <f aca="false">D348</f>
        <v>4</v>
      </c>
      <c r="G348" s="14" t="s">
        <v>283</v>
      </c>
      <c r="I348" s="36" t="s">
        <v>150</v>
      </c>
      <c r="J348" s="53" t="n">
        <f aca="false">J353+J356+J360</f>
        <v>147.2294</v>
      </c>
    </row>
    <row r="349" customFormat="false" ht="15" hidden="false" customHeight="false" outlineLevel="0" collapsed="false">
      <c r="A349" s="14" t="s">
        <v>284</v>
      </c>
      <c r="B349" s="14" t="s">
        <v>285</v>
      </c>
      <c r="F349" s="36" t="s">
        <v>123</v>
      </c>
      <c r="G349" s="36" t="s">
        <v>286</v>
      </c>
      <c r="H349" s="36" t="s">
        <v>287</v>
      </c>
      <c r="I349" s="36" t="s">
        <v>288</v>
      </c>
      <c r="J349" s="36" t="s">
        <v>289</v>
      </c>
    </row>
    <row r="350" customFormat="false" ht="15" hidden="false" customHeight="false" outlineLevel="0" collapsed="false">
      <c r="B350" s="54" t="s">
        <v>290</v>
      </c>
    </row>
    <row r="351" customFormat="false" ht="15" hidden="false" customHeight="false" outlineLevel="0" collapsed="false">
      <c r="B351" s="1" t="s">
        <v>293</v>
      </c>
      <c r="F351" s="55" t="s">
        <v>292</v>
      </c>
      <c r="G351" s="56" t="n">
        <v>1</v>
      </c>
      <c r="H351" s="57" t="n">
        <f aca="false">G351*8/$D$348</f>
        <v>2</v>
      </c>
      <c r="I351" s="28" t="n">
        <v>23.6</v>
      </c>
      <c r="J351" s="28" t="n">
        <f aca="false">H351*I351</f>
        <v>47.2</v>
      </c>
    </row>
    <row r="352" customFormat="false" ht="15" hidden="false" customHeight="false" outlineLevel="0" collapsed="false">
      <c r="B352" s="1" t="s">
        <v>1173</v>
      </c>
      <c r="F352" s="55" t="s">
        <v>292</v>
      </c>
      <c r="G352" s="56" t="n">
        <v>1</v>
      </c>
      <c r="H352" s="57" t="n">
        <f aca="false">G352*8/$D$348</f>
        <v>2</v>
      </c>
      <c r="I352" s="1" t="n">
        <v>26.11</v>
      </c>
      <c r="J352" s="28" t="n">
        <f aca="false">H352*I352</f>
        <v>52.22</v>
      </c>
    </row>
    <row r="353" customFormat="false" ht="15" hidden="false" customHeight="false" outlineLevel="0" collapsed="false">
      <c r="F353" s="55"/>
      <c r="G353" s="56"/>
      <c r="H353" s="57"/>
      <c r="J353" s="53" t="n">
        <f aca="false">SUM(J351:J352)</f>
        <v>99.42</v>
      </c>
    </row>
    <row r="354" customFormat="false" ht="15" hidden="false" customHeight="false" outlineLevel="0" collapsed="false">
      <c r="B354" s="54" t="s">
        <v>654</v>
      </c>
      <c r="F354" s="55"/>
      <c r="G354" s="56"/>
      <c r="H354" s="57"/>
      <c r="I354" s="57"/>
      <c r="J354" s="28"/>
    </row>
    <row r="355" customFormat="false" ht="15" hidden="false" customHeight="false" outlineLevel="0" collapsed="false">
      <c r="B355" s="1" t="s">
        <v>1203</v>
      </c>
      <c r="F355" s="55" t="s">
        <v>150</v>
      </c>
      <c r="H355" s="57" t="n">
        <v>1</v>
      </c>
      <c r="I355" s="28" t="n">
        <v>44.62</v>
      </c>
      <c r="J355" s="28" t="n">
        <f aca="false">H355*I355</f>
        <v>44.62</v>
      </c>
    </row>
    <row r="356" customFormat="false" ht="15" hidden="false" customHeight="false" outlineLevel="0" collapsed="false">
      <c r="J356" s="53" t="n">
        <f aca="false">SUM(J355:J355)</f>
        <v>44.62</v>
      </c>
    </row>
    <row r="357" customFormat="false" ht="15" hidden="false" customHeight="false" outlineLevel="0" collapsed="false">
      <c r="B357" s="54" t="s">
        <v>310</v>
      </c>
    </row>
    <row r="358" customFormat="false" ht="15" hidden="false" customHeight="false" outlineLevel="0" collapsed="false">
      <c r="B358" s="1" t="s">
        <v>311</v>
      </c>
      <c r="F358" s="55" t="s">
        <v>312</v>
      </c>
      <c r="H358" s="57" t="n">
        <v>3</v>
      </c>
      <c r="I358" s="28" t="n">
        <f aca="false">J353</f>
        <v>99.42</v>
      </c>
      <c r="J358" s="28" t="n">
        <f aca="false">H358%*I358</f>
        <v>2.9826</v>
      </c>
    </row>
    <row r="359" customFormat="false" ht="15" hidden="false" customHeight="false" outlineLevel="0" collapsed="false">
      <c r="B359" s="1" t="s">
        <v>866</v>
      </c>
      <c r="F359" s="55" t="s">
        <v>867</v>
      </c>
      <c r="G359" s="56" t="n">
        <v>1</v>
      </c>
      <c r="H359" s="57" t="n">
        <f aca="false">G359*8/$D$348</f>
        <v>2</v>
      </c>
      <c r="I359" s="88" t="n">
        <v>10.34</v>
      </c>
      <c r="J359" s="28" t="n">
        <f aca="false">H359%*I359</f>
        <v>0.2068</v>
      </c>
    </row>
    <row r="360" customFormat="false" ht="15" hidden="false" customHeight="false" outlineLevel="0" collapsed="false">
      <c r="A360" s="60"/>
      <c r="B360" s="60"/>
      <c r="C360" s="60"/>
      <c r="D360" s="60"/>
      <c r="E360" s="60"/>
      <c r="F360" s="60"/>
      <c r="G360" s="60"/>
      <c r="H360" s="60"/>
      <c r="I360" s="80"/>
      <c r="J360" s="61" t="n">
        <f aca="false">SUM(J358:J359)</f>
        <v>3.1894</v>
      </c>
    </row>
    <row r="362" customFormat="false" ht="15" hidden="false" customHeight="false" outlineLevel="0" collapsed="false">
      <c r="A362" s="14" t="s">
        <v>278</v>
      </c>
      <c r="B362" s="14" t="str">
        <f aca="false">COMUNICACIONES!A28</f>
        <v>06.02.13</v>
      </c>
      <c r="C362" s="14" t="s">
        <v>1149</v>
      </c>
      <c r="D362" s="14"/>
    </row>
    <row r="363" customFormat="false" ht="15" hidden="false" customHeight="false" outlineLevel="0" collapsed="false">
      <c r="A363" s="14" t="s">
        <v>279</v>
      </c>
      <c r="B363" s="14" t="s">
        <v>326</v>
      </c>
      <c r="C363" s="36" t="s">
        <v>281</v>
      </c>
      <c r="D363" s="52" t="n">
        <v>2</v>
      </c>
      <c r="E363" s="36" t="s">
        <v>282</v>
      </c>
      <c r="F363" s="52" t="n">
        <f aca="false">D363</f>
        <v>2</v>
      </c>
      <c r="G363" s="14" t="s">
        <v>283</v>
      </c>
      <c r="I363" s="36" t="s">
        <v>150</v>
      </c>
      <c r="J363" s="53" t="n">
        <f aca="false">J368+J371+J374</f>
        <v>6299.9952</v>
      </c>
    </row>
    <row r="364" customFormat="false" ht="15" hidden="false" customHeight="false" outlineLevel="0" collapsed="false">
      <c r="A364" s="14" t="s">
        <v>284</v>
      </c>
      <c r="B364" s="14" t="s">
        <v>285</v>
      </c>
      <c r="F364" s="36" t="s">
        <v>123</v>
      </c>
      <c r="G364" s="36" t="s">
        <v>286</v>
      </c>
      <c r="H364" s="36" t="s">
        <v>287</v>
      </c>
      <c r="I364" s="36" t="s">
        <v>288</v>
      </c>
      <c r="J364" s="36" t="s">
        <v>289</v>
      </c>
    </row>
    <row r="365" customFormat="false" ht="15" hidden="false" customHeight="false" outlineLevel="0" collapsed="false">
      <c r="B365" s="54" t="s">
        <v>290</v>
      </c>
    </row>
    <row r="366" customFormat="false" ht="15" hidden="false" customHeight="false" outlineLevel="0" collapsed="false">
      <c r="B366" s="1" t="s">
        <v>293</v>
      </c>
      <c r="F366" s="55" t="s">
        <v>292</v>
      </c>
      <c r="G366" s="56" t="n">
        <v>1</v>
      </c>
      <c r="H366" s="57" t="n">
        <f aca="false">G366*8/$D$363</f>
        <v>4</v>
      </c>
      <c r="I366" s="28" t="n">
        <v>23.6</v>
      </c>
      <c r="J366" s="28" t="n">
        <f aca="false">H366*I366</f>
        <v>94.4</v>
      </c>
    </row>
    <row r="367" customFormat="false" ht="15" hidden="false" customHeight="false" outlineLevel="0" collapsed="false">
      <c r="B367" s="1" t="s">
        <v>1173</v>
      </c>
      <c r="F367" s="55" t="s">
        <v>292</v>
      </c>
      <c r="G367" s="56" t="n">
        <v>1</v>
      </c>
      <c r="H367" s="57" t="n">
        <f aca="false">G367*8/$D$363</f>
        <v>4</v>
      </c>
      <c r="I367" s="1" t="n">
        <v>26.11</v>
      </c>
      <c r="J367" s="28" t="n">
        <f aca="false">H367*I367</f>
        <v>104.44</v>
      </c>
    </row>
    <row r="368" customFormat="false" ht="15" hidden="false" customHeight="false" outlineLevel="0" collapsed="false">
      <c r="F368" s="55"/>
      <c r="G368" s="56"/>
      <c r="H368" s="57"/>
      <c r="J368" s="53" t="n">
        <f aca="false">SUM(J366:J367)</f>
        <v>198.84</v>
      </c>
    </row>
    <row r="369" customFormat="false" ht="15" hidden="false" customHeight="false" outlineLevel="0" collapsed="false">
      <c r="B369" s="54" t="s">
        <v>654</v>
      </c>
      <c r="F369" s="55"/>
      <c r="G369" s="56"/>
      <c r="H369" s="57"/>
      <c r="I369" s="57"/>
      <c r="J369" s="28"/>
    </row>
    <row r="370" customFormat="false" ht="15" hidden="false" customHeight="false" outlineLevel="0" collapsed="false">
      <c r="B370" s="1" t="s">
        <v>1204</v>
      </c>
      <c r="F370" s="55" t="s">
        <v>150</v>
      </c>
      <c r="H370" s="57" t="n">
        <v>1</v>
      </c>
      <c r="I370" s="28" t="n">
        <v>3564.02</v>
      </c>
      <c r="J370" s="28" t="n">
        <f aca="false">H370*I370</f>
        <v>3564.02</v>
      </c>
    </row>
    <row r="371" customFormat="false" ht="15" hidden="false" customHeight="false" outlineLevel="0" collapsed="false">
      <c r="J371" s="53" t="n">
        <v>6095.19</v>
      </c>
    </row>
    <row r="372" customFormat="false" ht="15" hidden="false" customHeight="false" outlineLevel="0" collapsed="false">
      <c r="B372" s="54" t="s">
        <v>310</v>
      </c>
    </row>
    <row r="373" customFormat="false" ht="15" hidden="false" customHeight="false" outlineLevel="0" collapsed="false">
      <c r="B373" s="1" t="s">
        <v>311</v>
      </c>
      <c r="F373" s="55" t="s">
        <v>312</v>
      </c>
      <c r="H373" s="57" t="n">
        <v>3</v>
      </c>
      <c r="I373" s="28" t="n">
        <f aca="false">J368</f>
        <v>198.84</v>
      </c>
      <c r="J373" s="28" t="n">
        <f aca="false">H373%*I373</f>
        <v>5.9652</v>
      </c>
    </row>
    <row r="374" customFormat="false" ht="15" hidden="false" customHeight="false" outlineLevel="0" collapsed="false">
      <c r="A374" s="60"/>
      <c r="B374" s="60"/>
      <c r="C374" s="60"/>
      <c r="D374" s="60"/>
      <c r="E374" s="60"/>
      <c r="F374" s="60"/>
      <c r="G374" s="60"/>
      <c r="H374" s="60"/>
      <c r="I374" s="80"/>
      <c r="J374" s="61" t="n">
        <f aca="false">SUM(J373:J373)</f>
        <v>5.9652</v>
      </c>
    </row>
    <row r="376" customFormat="false" ht="15" hidden="false" customHeight="false" outlineLevel="0" collapsed="false">
      <c r="A376" s="14" t="s">
        <v>278</v>
      </c>
      <c r="B376" s="14" t="str">
        <f aca="false">COMUNICACIONES!A29</f>
        <v>06.02.14</v>
      </c>
      <c r="C376" s="14" t="s">
        <v>1151</v>
      </c>
      <c r="D376" s="14"/>
    </row>
    <row r="377" customFormat="false" ht="15" hidden="false" customHeight="false" outlineLevel="0" collapsed="false">
      <c r="A377" s="14" t="s">
        <v>279</v>
      </c>
      <c r="B377" s="14" t="s">
        <v>326</v>
      </c>
      <c r="C377" s="36" t="s">
        <v>281</v>
      </c>
      <c r="D377" s="52" t="n">
        <v>2</v>
      </c>
      <c r="E377" s="36" t="s">
        <v>282</v>
      </c>
      <c r="F377" s="52" t="n">
        <f aca="false">D377</f>
        <v>2</v>
      </c>
      <c r="G377" s="14" t="s">
        <v>283</v>
      </c>
      <c r="I377" s="36" t="s">
        <v>150</v>
      </c>
      <c r="J377" s="53" t="n">
        <f aca="false">J382+J385+J388</f>
        <v>8658.3952</v>
      </c>
    </row>
    <row r="378" customFormat="false" ht="15" hidden="false" customHeight="false" outlineLevel="0" collapsed="false">
      <c r="A378" s="14" t="s">
        <v>284</v>
      </c>
      <c r="B378" s="14" t="s">
        <v>285</v>
      </c>
      <c r="F378" s="36" t="s">
        <v>123</v>
      </c>
      <c r="G378" s="36" t="s">
        <v>286</v>
      </c>
      <c r="H378" s="36" t="s">
        <v>287</v>
      </c>
      <c r="I378" s="36" t="s">
        <v>288</v>
      </c>
      <c r="J378" s="36" t="s">
        <v>289</v>
      </c>
    </row>
    <row r="379" customFormat="false" ht="15" hidden="false" customHeight="false" outlineLevel="0" collapsed="false">
      <c r="B379" s="54" t="s">
        <v>290</v>
      </c>
    </row>
    <row r="380" customFormat="false" ht="15" hidden="false" customHeight="false" outlineLevel="0" collapsed="false">
      <c r="B380" s="1" t="s">
        <v>293</v>
      </c>
      <c r="F380" s="55" t="s">
        <v>292</v>
      </c>
      <c r="G380" s="56" t="n">
        <v>1</v>
      </c>
      <c r="H380" s="57" t="n">
        <f aca="false">G380*8/$D$377</f>
        <v>4</v>
      </c>
      <c r="I380" s="28" t="n">
        <v>23.6</v>
      </c>
      <c r="J380" s="28" t="n">
        <f aca="false">H380*I380</f>
        <v>94.4</v>
      </c>
    </row>
    <row r="381" customFormat="false" ht="15" hidden="false" customHeight="false" outlineLevel="0" collapsed="false">
      <c r="B381" s="1" t="s">
        <v>1173</v>
      </c>
      <c r="F381" s="55" t="s">
        <v>292</v>
      </c>
      <c r="G381" s="56" t="n">
        <v>1</v>
      </c>
      <c r="H381" s="57" t="n">
        <f aca="false">G381*8/$D$377</f>
        <v>4</v>
      </c>
      <c r="I381" s="1" t="n">
        <v>26.11</v>
      </c>
      <c r="J381" s="28" t="n">
        <f aca="false">H381*I381</f>
        <v>104.44</v>
      </c>
    </row>
    <row r="382" customFormat="false" ht="15" hidden="false" customHeight="false" outlineLevel="0" collapsed="false">
      <c r="F382" s="55"/>
      <c r="G382" s="56"/>
      <c r="H382" s="57"/>
      <c r="J382" s="53" t="n">
        <f aca="false">SUM(J380:J381)</f>
        <v>198.84</v>
      </c>
    </row>
    <row r="383" customFormat="false" ht="15" hidden="false" customHeight="false" outlineLevel="0" collapsed="false">
      <c r="B383" s="54" t="s">
        <v>654</v>
      </c>
      <c r="F383" s="55"/>
      <c r="G383" s="56"/>
      <c r="H383" s="57"/>
      <c r="I383" s="57"/>
      <c r="J383" s="28"/>
    </row>
    <row r="384" customFormat="false" ht="15" hidden="false" customHeight="false" outlineLevel="0" collapsed="false">
      <c r="B384" s="1" t="s">
        <v>1205</v>
      </c>
      <c r="F384" s="55" t="s">
        <v>150</v>
      </c>
      <c r="H384" s="57" t="n">
        <v>1</v>
      </c>
      <c r="I384" s="28" t="n">
        <v>8453.59</v>
      </c>
      <c r="J384" s="28" t="n">
        <f aca="false">H384*I384</f>
        <v>8453.59</v>
      </c>
    </row>
    <row r="385" customFormat="false" ht="15" hidden="false" customHeight="false" outlineLevel="0" collapsed="false">
      <c r="J385" s="53" t="n">
        <f aca="false">SUM(J384:J384)</f>
        <v>8453.59</v>
      </c>
    </row>
    <row r="386" customFormat="false" ht="15" hidden="false" customHeight="false" outlineLevel="0" collapsed="false">
      <c r="B386" s="54" t="s">
        <v>310</v>
      </c>
    </row>
    <row r="387" customFormat="false" ht="15" hidden="false" customHeight="false" outlineLevel="0" collapsed="false">
      <c r="B387" s="1" t="s">
        <v>311</v>
      </c>
      <c r="F387" s="55" t="s">
        <v>312</v>
      </c>
      <c r="H387" s="57" t="n">
        <v>3</v>
      </c>
      <c r="I387" s="28" t="n">
        <f aca="false">J382</f>
        <v>198.84</v>
      </c>
      <c r="J387" s="28" t="n">
        <f aca="false">H387%*I387</f>
        <v>5.9652</v>
      </c>
    </row>
    <row r="388" customFormat="false" ht="15" hidden="false" customHeight="false" outlineLevel="0" collapsed="false">
      <c r="A388" s="60"/>
      <c r="B388" s="60"/>
      <c r="C388" s="60"/>
      <c r="D388" s="60"/>
      <c r="E388" s="60"/>
      <c r="F388" s="60"/>
      <c r="G388" s="60"/>
      <c r="H388" s="60"/>
      <c r="I388" s="80"/>
      <c r="J388" s="61" t="n">
        <f aca="false">SUM(J387:J387)</f>
        <v>5.9652</v>
      </c>
    </row>
    <row r="390" customFormat="false" ht="15" hidden="false" customHeight="false" outlineLevel="0" collapsed="false">
      <c r="A390" s="14" t="s">
        <v>278</v>
      </c>
      <c r="B390" s="14" t="str">
        <f aca="false">COMUNICACIONES!A30</f>
        <v>06.02.15</v>
      </c>
      <c r="C390" s="14" t="s">
        <v>1153</v>
      </c>
      <c r="D390" s="14"/>
    </row>
    <row r="391" customFormat="false" ht="15" hidden="false" customHeight="false" outlineLevel="0" collapsed="false">
      <c r="A391" s="14" t="s">
        <v>279</v>
      </c>
      <c r="B391" s="14" t="s">
        <v>326</v>
      </c>
      <c r="C391" s="36" t="s">
        <v>281</v>
      </c>
      <c r="D391" s="52" t="n">
        <v>2</v>
      </c>
      <c r="E391" s="36" t="s">
        <v>282</v>
      </c>
      <c r="F391" s="52" t="n">
        <f aca="false">D391</f>
        <v>2</v>
      </c>
      <c r="G391" s="14" t="s">
        <v>283</v>
      </c>
      <c r="I391" s="36" t="s">
        <v>150</v>
      </c>
      <c r="J391" s="53" t="n">
        <f aca="false">J396+J402+J405</f>
        <v>9537.4312</v>
      </c>
    </row>
    <row r="392" customFormat="false" ht="15" hidden="false" customHeight="false" outlineLevel="0" collapsed="false">
      <c r="A392" s="14" t="s">
        <v>284</v>
      </c>
      <c r="B392" s="14" t="s">
        <v>285</v>
      </c>
      <c r="F392" s="36" t="s">
        <v>123</v>
      </c>
      <c r="G392" s="36" t="s">
        <v>286</v>
      </c>
      <c r="H392" s="36" t="s">
        <v>287</v>
      </c>
      <c r="I392" s="36" t="s">
        <v>288</v>
      </c>
      <c r="J392" s="36" t="s">
        <v>289</v>
      </c>
    </row>
    <row r="393" customFormat="false" ht="15" hidden="false" customHeight="false" outlineLevel="0" collapsed="false">
      <c r="B393" s="54" t="s">
        <v>290</v>
      </c>
    </row>
    <row r="394" customFormat="false" ht="15" hidden="false" customHeight="false" outlineLevel="0" collapsed="false">
      <c r="B394" s="1" t="s">
        <v>293</v>
      </c>
      <c r="F394" s="55" t="s">
        <v>292</v>
      </c>
      <c r="G394" s="56" t="n">
        <v>1</v>
      </c>
      <c r="H394" s="57" t="n">
        <f aca="false">G394*8/$D$391</f>
        <v>4</v>
      </c>
      <c r="I394" s="28" t="n">
        <v>23.6</v>
      </c>
      <c r="J394" s="28" t="n">
        <f aca="false">H394*I394</f>
        <v>94.4</v>
      </c>
    </row>
    <row r="395" customFormat="false" ht="15" hidden="false" customHeight="false" outlineLevel="0" collapsed="false">
      <c r="B395" s="1" t="s">
        <v>1173</v>
      </c>
      <c r="F395" s="55" t="s">
        <v>292</v>
      </c>
      <c r="G395" s="56" t="n">
        <v>1</v>
      </c>
      <c r="H395" s="57" t="n">
        <f aca="false">G395*8/$D$391</f>
        <v>4</v>
      </c>
      <c r="I395" s="1" t="n">
        <v>26.11</v>
      </c>
      <c r="J395" s="28" t="n">
        <f aca="false">H395*I395</f>
        <v>104.44</v>
      </c>
    </row>
    <row r="396" customFormat="false" ht="15" hidden="false" customHeight="false" outlineLevel="0" collapsed="false">
      <c r="F396" s="55"/>
      <c r="G396" s="56"/>
      <c r="H396" s="57"/>
      <c r="J396" s="53" t="n">
        <f aca="false">SUM(J394:J395)</f>
        <v>198.84</v>
      </c>
    </row>
    <row r="397" customFormat="false" ht="15" hidden="false" customHeight="false" outlineLevel="0" collapsed="false">
      <c r="B397" s="54" t="s">
        <v>654</v>
      </c>
      <c r="F397" s="55"/>
      <c r="G397" s="56"/>
      <c r="H397" s="57"/>
      <c r="I397" s="57"/>
      <c r="J397" s="28"/>
    </row>
    <row r="398" customFormat="false" ht="15" hidden="false" customHeight="false" outlineLevel="0" collapsed="false">
      <c r="B398" s="1" t="s">
        <v>1206</v>
      </c>
      <c r="F398" s="55" t="s">
        <v>150</v>
      </c>
      <c r="H398" s="57" t="n">
        <v>7</v>
      </c>
      <c r="I398" s="28" t="n">
        <v>213.759</v>
      </c>
      <c r="J398" s="28" t="n">
        <f aca="false">H398*I398</f>
        <v>1496.313</v>
      </c>
      <c r="M398" s="14"/>
    </row>
    <row r="399" customFormat="false" ht="15" hidden="false" customHeight="false" outlineLevel="0" collapsed="false">
      <c r="B399" s="1" t="s">
        <v>1207</v>
      </c>
      <c r="F399" s="55" t="s">
        <v>150</v>
      </c>
      <c r="H399" s="57" t="n">
        <v>7</v>
      </c>
      <c r="I399" s="28" t="n">
        <v>213.759</v>
      </c>
      <c r="J399" s="28" t="n">
        <f aca="false">H399*I399</f>
        <v>1496.313</v>
      </c>
      <c r="M399" s="14"/>
    </row>
    <row r="400" customFormat="false" ht="15" hidden="false" customHeight="false" outlineLevel="0" collapsed="false">
      <c r="B400" s="1" t="s">
        <v>1208</v>
      </c>
      <c r="F400" s="55" t="s">
        <v>150</v>
      </c>
      <c r="H400" s="57" t="n">
        <v>11</v>
      </c>
      <c r="I400" s="28" t="n">
        <v>340</v>
      </c>
      <c r="J400" s="28" t="n">
        <f aca="false">H400*I400</f>
        <v>3740</v>
      </c>
      <c r="M400" s="14"/>
    </row>
    <row r="401" customFormat="false" ht="15" hidden="false" customHeight="false" outlineLevel="0" collapsed="false">
      <c r="B401" s="1" t="s">
        <v>1209</v>
      </c>
      <c r="F401" s="55" t="s">
        <v>363</v>
      </c>
      <c r="H401" s="57" t="n">
        <v>4</v>
      </c>
      <c r="I401" s="28" t="n">
        <v>650</v>
      </c>
      <c r="J401" s="28" t="n">
        <f aca="false">H401*I401</f>
        <v>2600</v>
      </c>
      <c r="L401" s="14"/>
      <c r="M401" s="14"/>
    </row>
    <row r="402" customFormat="false" ht="15" hidden="false" customHeight="false" outlineLevel="0" collapsed="false">
      <c r="J402" s="53" t="n">
        <f aca="false">SUM(J398:J401)</f>
        <v>9332.626</v>
      </c>
      <c r="M402" s="14"/>
    </row>
    <row r="403" customFormat="false" ht="15" hidden="false" customHeight="false" outlineLevel="0" collapsed="false">
      <c r="B403" s="54" t="s">
        <v>310</v>
      </c>
    </row>
    <row r="404" customFormat="false" ht="15" hidden="false" customHeight="false" outlineLevel="0" collapsed="false">
      <c r="B404" s="1" t="s">
        <v>311</v>
      </c>
      <c r="F404" s="55" t="s">
        <v>312</v>
      </c>
      <c r="H404" s="57" t="n">
        <v>3</v>
      </c>
      <c r="I404" s="28" t="n">
        <f aca="false">J396</f>
        <v>198.84</v>
      </c>
      <c r="J404" s="28" t="n">
        <f aca="false">H404%*I404</f>
        <v>5.9652</v>
      </c>
    </row>
    <row r="405" customFormat="false" ht="15" hidden="false" customHeight="false" outlineLevel="0" collapsed="false">
      <c r="A405" s="60"/>
      <c r="B405" s="60"/>
      <c r="C405" s="60"/>
      <c r="D405" s="60"/>
      <c r="E405" s="60"/>
      <c r="F405" s="60"/>
      <c r="G405" s="60"/>
      <c r="H405" s="60"/>
      <c r="I405" s="80"/>
      <c r="J405" s="61" t="n">
        <f aca="false">SUM(J404:J404)</f>
        <v>5.9652</v>
      </c>
    </row>
    <row r="407" customFormat="false" ht="15" hidden="false" customHeight="false" outlineLevel="0" collapsed="false">
      <c r="A407" s="14" t="s">
        <v>278</v>
      </c>
      <c r="B407" s="14" t="str">
        <f aca="false">COMUNICACIONES!A32</f>
        <v>06.03.01</v>
      </c>
      <c r="C407" s="14" t="s">
        <v>1156</v>
      </c>
      <c r="D407" s="14"/>
    </row>
    <row r="408" customFormat="false" ht="15" hidden="false" customHeight="false" outlineLevel="0" collapsed="false">
      <c r="A408" s="14" t="s">
        <v>279</v>
      </c>
      <c r="B408" s="14" t="s">
        <v>326</v>
      </c>
      <c r="C408" s="36" t="s">
        <v>281</v>
      </c>
      <c r="D408" s="52" t="n">
        <v>1</v>
      </c>
      <c r="E408" s="36" t="s">
        <v>282</v>
      </c>
      <c r="F408" s="52" t="n">
        <f aca="false">D408</f>
        <v>1</v>
      </c>
      <c r="G408" s="14" t="s">
        <v>283</v>
      </c>
      <c r="I408" s="36" t="s">
        <v>150</v>
      </c>
      <c r="J408" s="53" t="n">
        <f aca="false">J413+J416+J419</f>
        <v>8361.6008</v>
      </c>
    </row>
    <row r="409" customFormat="false" ht="15" hidden="false" customHeight="false" outlineLevel="0" collapsed="false">
      <c r="A409" s="14" t="s">
        <v>284</v>
      </c>
      <c r="B409" s="14" t="s">
        <v>285</v>
      </c>
      <c r="F409" s="36" t="s">
        <v>123</v>
      </c>
      <c r="G409" s="36" t="s">
        <v>286</v>
      </c>
      <c r="H409" s="36" t="s">
        <v>287</v>
      </c>
      <c r="I409" s="36" t="s">
        <v>288</v>
      </c>
      <c r="J409" s="36" t="s">
        <v>289</v>
      </c>
    </row>
    <row r="410" customFormat="false" ht="15" hidden="false" customHeight="false" outlineLevel="0" collapsed="false">
      <c r="B410" s="54" t="s">
        <v>290</v>
      </c>
    </row>
    <row r="411" customFormat="false" ht="15" hidden="false" customHeight="false" outlineLevel="0" collapsed="false">
      <c r="B411" s="1" t="s">
        <v>293</v>
      </c>
      <c r="F411" s="55" t="s">
        <v>292</v>
      </c>
      <c r="G411" s="56" t="n">
        <v>2</v>
      </c>
      <c r="H411" s="57" t="n">
        <f aca="false">G411*8/$D$408</f>
        <v>16</v>
      </c>
      <c r="I411" s="28" t="n">
        <v>23.6</v>
      </c>
      <c r="J411" s="28" t="n">
        <f aca="false">H411*I411</f>
        <v>377.6</v>
      </c>
    </row>
    <row r="412" customFormat="false" ht="15" hidden="false" customHeight="false" outlineLevel="0" collapsed="false">
      <c r="B412" s="1" t="s">
        <v>1173</v>
      </c>
      <c r="F412" s="55" t="s">
        <v>292</v>
      </c>
      <c r="G412" s="56" t="n">
        <v>2</v>
      </c>
      <c r="H412" s="57" t="n">
        <f aca="false">G412*8/$D$408</f>
        <v>16</v>
      </c>
      <c r="I412" s="1" t="n">
        <v>26.11</v>
      </c>
      <c r="J412" s="28" t="n">
        <f aca="false">H412*I412</f>
        <v>417.76</v>
      </c>
    </row>
    <row r="413" customFormat="false" ht="15" hidden="false" customHeight="false" outlineLevel="0" collapsed="false">
      <c r="F413" s="55"/>
      <c r="G413" s="56"/>
      <c r="H413" s="57"/>
      <c r="J413" s="53" t="n">
        <f aca="false">SUM(J411:J412)</f>
        <v>795.36</v>
      </c>
    </row>
    <row r="414" customFormat="false" ht="15" hidden="false" customHeight="false" outlineLevel="0" collapsed="false">
      <c r="B414" s="54" t="s">
        <v>654</v>
      </c>
      <c r="F414" s="55"/>
      <c r="G414" s="56"/>
      <c r="H414" s="57"/>
      <c r="I414" s="57"/>
      <c r="J414" s="28"/>
    </row>
    <row r="415" customFormat="false" ht="15" hidden="false" customHeight="false" outlineLevel="0" collapsed="false">
      <c r="B415" s="1" t="s">
        <v>1200</v>
      </c>
      <c r="F415" s="55" t="s">
        <v>150</v>
      </c>
      <c r="H415" s="57" t="n">
        <v>1</v>
      </c>
      <c r="I415" s="28" t="n">
        <v>7542.38</v>
      </c>
      <c r="J415" s="28" t="n">
        <f aca="false">H415*I415</f>
        <v>7542.38</v>
      </c>
    </row>
    <row r="416" customFormat="false" ht="15" hidden="false" customHeight="false" outlineLevel="0" collapsed="false">
      <c r="J416" s="53" t="n">
        <f aca="false">SUM(J415:J415)</f>
        <v>7542.38</v>
      </c>
    </row>
    <row r="417" customFormat="false" ht="15" hidden="false" customHeight="false" outlineLevel="0" collapsed="false">
      <c r="B417" s="54" t="s">
        <v>310</v>
      </c>
    </row>
    <row r="418" customFormat="false" ht="15" hidden="false" customHeight="false" outlineLevel="0" collapsed="false">
      <c r="B418" s="1" t="s">
        <v>311</v>
      </c>
      <c r="F418" s="55" t="s">
        <v>312</v>
      </c>
      <c r="H418" s="57" t="n">
        <v>3</v>
      </c>
      <c r="I418" s="28" t="n">
        <f aca="false">J413</f>
        <v>795.36</v>
      </c>
      <c r="J418" s="28" t="n">
        <f aca="false">H418%*I418</f>
        <v>23.8608</v>
      </c>
    </row>
    <row r="419" customFormat="false" ht="15" hidden="false" customHeight="false" outlineLevel="0" collapsed="false">
      <c r="A419" s="60"/>
      <c r="B419" s="60"/>
      <c r="C419" s="60"/>
      <c r="D419" s="60"/>
      <c r="E419" s="60"/>
      <c r="F419" s="60"/>
      <c r="G419" s="60"/>
      <c r="H419" s="60"/>
      <c r="I419" s="80"/>
      <c r="J419" s="61" t="n">
        <f aca="false">SUM(J418:J418)</f>
        <v>23.8608</v>
      </c>
    </row>
    <row r="421" customFormat="false" ht="15" hidden="false" customHeight="false" outlineLevel="0" collapsed="false">
      <c r="A421" s="14" t="s">
        <v>278</v>
      </c>
      <c r="B421" s="14" t="str">
        <f aca="false">COMUNICACIONES!A33</f>
        <v>06.03.02</v>
      </c>
      <c r="C421" s="14" t="s">
        <v>1158</v>
      </c>
      <c r="D421" s="14"/>
    </row>
    <row r="422" customFormat="false" ht="15" hidden="false" customHeight="false" outlineLevel="0" collapsed="false">
      <c r="A422" s="14" t="s">
        <v>279</v>
      </c>
      <c r="B422" s="14" t="s">
        <v>326</v>
      </c>
      <c r="C422" s="36" t="s">
        <v>281</v>
      </c>
      <c r="D422" s="52" t="n">
        <v>2</v>
      </c>
      <c r="E422" s="36" t="s">
        <v>282</v>
      </c>
      <c r="F422" s="52" t="n">
        <f aca="false">D422</f>
        <v>2</v>
      </c>
      <c r="G422" s="14" t="s">
        <v>283</v>
      </c>
      <c r="I422" s="36" t="s">
        <v>150</v>
      </c>
      <c r="J422" s="53" t="n">
        <f aca="false">J427+J433+J437</f>
        <v>633.6988</v>
      </c>
    </row>
    <row r="423" customFormat="false" ht="15" hidden="false" customHeight="false" outlineLevel="0" collapsed="false">
      <c r="A423" s="14" t="s">
        <v>284</v>
      </c>
      <c r="B423" s="14" t="s">
        <v>285</v>
      </c>
      <c r="F423" s="36" t="s">
        <v>123</v>
      </c>
      <c r="G423" s="36" t="s">
        <v>286</v>
      </c>
      <c r="H423" s="36" t="s">
        <v>287</v>
      </c>
      <c r="I423" s="36" t="s">
        <v>288</v>
      </c>
      <c r="J423" s="36" t="s">
        <v>289</v>
      </c>
    </row>
    <row r="424" customFormat="false" ht="15" hidden="false" customHeight="false" outlineLevel="0" collapsed="false">
      <c r="B424" s="54" t="s">
        <v>290</v>
      </c>
    </row>
    <row r="425" customFormat="false" ht="15" hidden="false" customHeight="false" outlineLevel="0" collapsed="false">
      <c r="B425" s="1" t="s">
        <v>293</v>
      </c>
      <c r="F425" s="55" t="s">
        <v>292</v>
      </c>
      <c r="G425" s="56" t="n">
        <v>1</v>
      </c>
      <c r="H425" s="57" t="n">
        <f aca="false">G425*8/$D$422</f>
        <v>4</v>
      </c>
      <c r="I425" s="28" t="n">
        <v>23.6</v>
      </c>
      <c r="J425" s="28" t="n">
        <f aca="false">H425*I425</f>
        <v>94.4</v>
      </c>
    </row>
    <row r="426" customFormat="false" ht="15" hidden="false" customHeight="false" outlineLevel="0" collapsed="false">
      <c r="B426" s="1" t="s">
        <v>1173</v>
      </c>
      <c r="F426" s="55" t="s">
        <v>292</v>
      </c>
      <c r="G426" s="56" t="n">
        <v>1</v>
      </c>
      <c r="H426" s="57" t="n">
        <f aca="false">G426*8/$D$422</f>
        <v>4</v>
      </c>
      <c r="I426" s="1" t="n">
        <v>26.11</v>
      </c>
      <c r="J426" s="28" t="n">
        <f aca="false">H426*I426</f>
        <v>104.44</v>
      </c>
    </row>
    <row r="427" customFormat="false" ht="15" hidden="false" customHeight="false" outlineLevel="0" collapsed="false">
      <c r="F427" s="55"/>
      <c r="G427" s="56"/>
      <c r="H427" s="57"/>
      <c r="J427" s="53" t="n">
        <f aca="false">SUM(J425:J426)</f>
        <v>198.84</v>
      </c>
    </row>
    <row r="428" customFormat="false" ht="15" hidden="false" customHeight="false" outlineLevel="0" collapsed="false">
      <c r="B428" s="54" t="s">
        <v>654</v>
      </c>
      <c r="F428" s="55"/>
      <c r="G428" s="56"/>
      <c r="H428" s="57"/>
      <c r="I428" s="57"/>
      <c r="J428" s="28"/>
    </row>
    <row r="429" customFormat="false" ht="15" hidden="false" customHeight="false" outlineLevel="0" collapsed="false">
      <c r="B429" s="1" t="s">
        <v>1210</v>
      </c>
      <c r="F429" s="55" t="s">
        <v>150</v>
      </c>
      <c r="H429" s="57" t="n">
        <v>1</v>
      </c>
      <c r="I429" s="28" t="n">
        <v>85</v>
      </c>
      <c r="J429" s="28" t="n">
        <f aca="false">H429*I429</f>
        <v>85</v>
      </c>
    </row>
    <row r="430" customFormat="false" ht="15" hidden="false" customHeight="false" outlineLevel="0" collapsed="false">
      <c r="B430" s="1" t="s">
        <v>1211</v>
      </c>
      <c r="F430" s="55" t="s">
        <v>150</v>
      </c>
      <c r="H430" s="57" t="n">
        <v>1</v>
      </c>
      <c r="I430" s="28" t="n">
        <v>317.48</v>
      </c>
      <c r="J430" s="28" t="n">
        <f aca="false">H430*I430</f>
        <v>317.48</v>
      </c>
    </row>
    <row r="431" customFormat="false" ht="15" hidden="false" customHeight="false" outlineLevel="0" collapsed="false">
      <c r="B431" s="1" t="s">
        <v>1212</v>
      </c>
      <c r="F431" s="55" t="s">
        <v>150</v>
      </c>
      <c r="H431" s="57" t="n">
        <v>1</v>
      </c>
      <c r="I431" s="28" t="n">
        <v>3.5</v>
      </c>
      <c r="J431" s="28" t="n">
        <f aca="false">H431*I431</f>
        <v>3.5</v>
      </c>
    </row>
    <row r="432" customFormat="false" ht="15" hidden="false" customHeight="false" outlineLevel="0" collapsed="false">
      <c r="B432" s="1" t="s">
        <v>1213</v>
      </c>
      <c r="F432" s="55" t="s">
        <v>150</v>
      </c>
      <c r="H432" s="57" t="n">
        <v>1</v>
      </c>
      <c r="I432" s="28" t="n">
        <v>22.5</v>
      </c>
      <c r="J432" s="28" t="n">
        <f aca="false">H432*I432</f>
        <v>22.5</v>
      </c>
    </row>
    <row r="433" customFormat="false" ht="15" hidden="false" customHeight="false" outlineLevel="0" collapsed="false">
      <c r="J433" s="53" t="n">
        <f aca="false">SUM(J429:J432)</f>
        <v>428.48</v>
      </c>
    </row>
    <row r="434" customFormat="false" ht="15" hidden="false" customHeight="false" outlineLevel="0" collapsed="false">
      <c r="B434" s="54" t="s">
        <v>310</v>
      </c>
    </row>
    <row r="435" customFormat="false" ht="15" hidden="false" customHeight="false" outlineLevel="0" collapsed="false">
      <c r="B435" s="1" t="s">
        <v>311</v>
      </c>
      <c r="F435" s="55" t="s">
        <v>312</v>
      </c>
      <c r="H435" s="57" t="n">
        <v>3</v>
      </c>
      <c r="I435" s="28" t="n">
        <f aca="false">J427</f>
        <v>198.84</v>
      </c>
      <c r="J435" s="28" t="n">
        <f aca="false">H435%*I435</f>
        <v>5.9652</v>
      </c>
    </row>
    <row r="436" customFormat="false" ht="15" hidden="false" customHeight="false" outlineLevel="0" collapsed="false">
      <c r="B436" s="1" t="s">
        <v>866</v>
      </c>
      <c r="F436" s="55" t="s">
        <v>867</v>
      </c>
      <c r="G436" s="56" t="n">
        <v>1</v>
      </c>
      <c r="H436" s="57" t="n">
        <f aca="false">G436*8/$D$422</f>
        <v>4</v>
      </c>
      <c r="I436" s="88" t="n">
        <v>10.34</v>
      </c>
      <c r="J436" s="28" t="n">
        <f aca="false">H436%*I436</f>
        <v>0.4136</v>
      </c>
    </row>
    <row r="437" customFormat="false" ht="15" hidden="false" customHeight="false" outlineLevel="0" collapsed="false">
      <c r="A437" s="60"/>
      <c r="B437" s="60"/>
      <c r="C437" s="60"/>
      <c r="D437" s="60"/>
      <c r="E437" s="60"/>
      <c r="F437" s="60"/>
      <c r="G437" s="60"/>
      <c r="H437" s="60"/>
      <c r="I437" s="80"/>
      <c r="J437" s="61" t="n">
        <f aca="false">SUM(J435:J436)</f>
        <v>6.3788</v>
      </c>
    </row>
    <row r="439" customFormat="false" ht="15" hidden="false" customHeight="false" outlineLevel="0" collapsed="false">
      <c r="A439" s="14" t="s">
        <v>278</v>
      </c>
      <c r="B439" s="14" t="str">
        <f aca="false">COMUNICACIONES!A34</f>
        <v>06.03.03</v>
      </c>
      <c r="C439" s="14" t="s">
        <v>1160</v>
      </c>
      <c r="D439" s="14"/>
    </row>
    <row r="440" customFormat="false" ht="15" hidden="false" customHeight="false" outlineLevel="0" collapsed="false">
      <c r="A440" s="14" t="s">
        <v>279</v>
      </c>
      <c r="B440" s="14" t="s">
        <v>326</v>
      </c>
      <c r="C440" s="36" t="s">
        <v>281</v>
      </c>
      <c r="D440" s="52" t="n">
        <v>2</v>
      </c>
      <c r="E440" s="36" t="s">
        <v>282</v>
      </c>
      <c r="F440" s="52" t="n">
        <f aca="false">D440</f>
        <v>2</v>
      </c>
      <c r="G440" s="14" t="s">
        <v>283</v>
      </c>
      <c r="I440" s="36" t="s">
        <v>150</v>
      </c>
      <c r="J440" s="53" t="n">
        <f aca="false">J445+J448+J452</f>
        <v>520.8388</v>
      </c>
    </row>
    <row r="441" customFormat="false" ht="15" hidden="false" customHeight="false" outlineLevel="0" collapsed="false">
      <c r="A441" s="14" t="s">
        <v>284</v>
      </c>
      <c r="B441" s="14" t="s">
        <v>285</v>
      </c>
      <c r="F441" s="36" t="s">
        <v>123</v>
      </c>
      <c r="G441" s="36" t="s">
        <v>286</v>
      </c>
      <c r="H441" s="36" t="s">
        <v>287</v>
      </c>
      <c r="I441" s="36" t="s">
        <v>288</v>
      </c>
      <c r="J441" s="36" t="s">
        <v>289</v>
      </c>
    </row>
    <row r="442" customFormat="false" ht="15" hidden="false" customHeight="false" outlineLevel="0" collapsed="false">
      <c r="B442" s="54" t="s">
        <v>290</v>
      </c>
    </row>
    <row r="443" customFormat="false" ht="15" hidden="false" customHeight="false" outlineLevel="0" collapsed="false">
      <c r="B443" s="1" t="s">
        <v>293</v>
      </c>
      <c r="F443" s="55" t="s">
        <v>292</v>
      </c>
      <c r="G443" s="56" t="n">
        <v>1</v>
      </c>
      <c r="H443" s="57" t="n">
        <f aca="false">G443*8/$D$440</f>
        <v>4</v>
      </c>
      <c r="I443" s="28" t="n">
        <v>23.6</v>
      </c>
      <c r="J443" s="28" t="n">
        <f aca="false">H443*I443</f>
        <v>94.4</v>
      </c>
    </row>
    <row r="444" customFormat="false" ht="15" hidden="false" customHeight="false" outlineLevel="0" collapsed="false">
      <c r="B444" s="1" t="s">
        <v>1173</v>
      </c>
      <c r="F444" s="55" t="s">
        <v>292</v>
      </c>
      <c r="G444" s="56" t="n">
        <v>1</v>
      </c>
      <c r="H444" s="57" t="n">
        <f aca="false">G444*8/$D$440</f>
        <v>4</v>
      </c>
      <c r="I444" s="1" t="n">
        <v>26.11</v>
      </c>
      <c r="J444" s="28" t="n">
        <f aca="false">H444*I444</f>
        <v>104.44</v>
      </c>
    </row>
    <row r="445" customFormat="false" ht="15" hidden="false" customHeight="false" outlineLevel="0" collapsed="false">
      <c r="F445" s="55"/>
      <c r="G445" s="56"/>
      <c r="H445" s="57"/>
      <c r="J445" s="53" t="n">
        <f aca="false">SUM(J443:J444)</f>
        <v>198.84</v>
      </c>
    </row>
    <row r="446" customFormat="false" ht="15" hidden="false" customHeight="false" outlineLevel="0" collapsed="false">
      <c r="B446" s="54" t="s">
        <v>654</v>
      </c>
      <c r="F446" s="55"/>
      <c r="G446" s="56"/>
      <c r="H446" s="57"/>
      <c r="I446" s="57"/>
      <c r="J446" s="28"/>
    </row>
    <row r="447" customFormat="false" ht="15" hidden="false" customHeight="false" outlineLevel="0" collapsed="false">
      <c r="B447" s="1" t="s">
        <v>1214</v>
      </c>
      <c r="F447" s="55" t="s">
        <v>150</v>
      </c>
      <c r="H447" s="57" t="n">
        <v>1</v>
      </c>
      <c r="I447" s="28" t="n">
        <v>315.62</v>
      </c>
      <c r="J447" s="28" t="n">
        <f aca="false">H447*I447</f>
        <v>315.62</v>
      </c>
    </row>
    <row r="448" customFormat="false" ht="15" hidden="false" customHeight="false" outlineLevel="0" collapsed="false">
      <c r="J448" s="53" t="n">
        <f aca="false">SUM(J447:J447)</f>
        <v>315.62</v>
      </c>
    </row>
    <row r="449" customFormat="false" ht="15" hidden="false" customHeight="false" outlineLevel="0" collapsed="false">
      <c r="B449" s="54" t="s">
        <v>310</v>
      </c>
    </row>
    <row r="450" customFormat="false" ht="15" hidden="false" customHeight="false" outlineLevel="0" collapsed="false">
      <c r="B450" s="1" t="s">
        <v>311</v>
      </c>
      <c r="F450" s="55" t="s">
        <v>312</v>
      </c>
      <c r="H450" s="57" t="n">
        <v>3</v>
      </c>
      <c r="I450" s="28" t="n">
        <f aca="false">J445</f>
        <v>198.84</v>
      </c>
      <c r="J450" s="28" t="n">
        <f aca="false">H450%*I450</f>
        <v>5.9652</v>
      </c>
    </row>
    <row r="451" customFormat="false" ht="15" hidden="false" customHeight="false" outlineLevel="0" collapsed="false">
      <c r="B451" s="1" t="s">
        <v>866</v>
      </c>
      <c r="F451" s="55" t="s">
        <v>867</v>
      </c>
      <c r="G451" s="56" t="n">
        <v>1</v>
      </c>
      <c r="H451" s="57" t="n">
        <f aca="false">G451*8/$D$440</f>
        <v>4</v>
      </c>
      <c r="I451" s="88" t="n">
        <v>10.34</v>
      </c>
      <c r="J451" s="28" t="n">
        <f aca="false">H451%*I451</f>
        <v>0.4136</v>
      </c>
    </row>
    <row r="452" customFormat="false" ht="15" hidden="false" customHeight="false" outlineLevel="0" collapsed="false">
      <c r="A452" s="60"/>
      <c r="B452" s="60"/>
      <c r="C452" s="60"/>
      <c r="D452" s="60"/>
      <c r="E452" s="60"/>
      <c r="F452" s="60"/>
      <c r="G452" s="60"/>
      <c r="H452" s="60"/>
      <c r="I452" s="80"/>
      <c r="J452" s="61" t="n">
        <f aca="false">SUM(J450:J451)</f>
        <v>6.3788</v>
      </c>
    </row>
    <row r="454" customFormat="false" ht="15" hidden="false" customHeight="false" outlineLevel="0" collapsed="false">
      <c r="A454" s="14" t="s">
        <v>278</v>
      </c>
      <c r="B454" s="14" t="str">
        <f aca="false">COMUNICACIONES!A36</f>
        <v>06.04.01</v>
      </c>
      <c r="C454" s="14" t="s">
        <v>1163</v>
      </c>
      <c r="D454" s="14"/>
    </row>
    <row r="455" customFormat="false" ht="15" hidden="false" customHeight="false" outlineLevel="0" collapsed="false">
      <c r="A455" s="14" t="s">
        <v>279</v>
      </c>
      <c r="B455" s="14" t="s">
        <v>326</v>
      </c>
      <c r="C455" s="36" t="s">
        <v>281</v>
      </c>
      <c r="D455" s="52" t="n">
        <v>2</v>
      </c>
      <c r="E455" s="36" t="s">
        <v>282</v>
      </c>
      <c r="F455" s="52" t="n">
        <f aca="false">D455</f>
        <v>2</v>
      </c>
      <c r="G455" s="14" t="s">
        <v>283</v>
      </c>
      <c r="I455" s="36" t="s">
        <v>150</v>
      </c>
      <c r="J455" s="53" t="n">
        <f aca="false">J460+J463+J466</f>
        <v>530.5052</v>
      </c>
    </row>
    <row r="456" customFormat="false" ht="15" hidden="false" customHeight="false" outlineLevel="0" collapsed="false">
      <c r="A456" s="14" t="s">
        <v>284</v>
      </c>
      <c r="B456" s="14" t="s">
        <v>285</v>
      </c>
      <c r="F456" s="36" t="s">
        <v>123</v>
      </c>
      <c r="G456" s="36" t="s">
        <v>286</v>
      </c>
      <c r="H456" s="36" t="s">
        <v>287</v>
      </c>
      <c r="I456" s="36" t="s">
        <v>288</v>
      </c>
      <c r="J456" s="36" t="s">
        <v>289</v>
      </c>
    </row>
    <row r="457" customFormat="false" ht="15" hidden="false" customHeight="false" outlineLevel="0" collapsed="false">
      <c r="B457" s="54" t="s">
        <v>290</v>
      </c>
    </row>
    <row r="458" customFormat="false" ht="15" hidden="false" customHeight="false" outlineLevel="0" collapsed="false">
      <c r="B458" s="1" t="s">
        <v>293</v>
      </c>
      <c r="F458" s="55" t="s">
        <v>292</v>
      </c>
      <c r="G458" s="56" t="n">
        <v>1</v>
      </c>
      <c r="H458" s="57" t="n">
        <f aca="false">G458*8/$D$455</f>
        <v>4</v>
      </c>
      <c r="I458" s="28" t="n">
        <v>23.6</v>
      </c>
      <c r="J458" s="28" t="n">
        <f aca="false">H458*I458</f>
        <v>94.4</v>
      </c>
      <c r="N458" s="14"/>
    </row>
    <row r="459" customFormat="false" ht="15" hidden="false" customHeight="false" outlineLevel="0" collapsed="false">
      <c r="B459" s="1" t="s">
        <v>1173</v>
      </c>
      <c r="F459" s="55" t="s">
        <v>292</v>
      </c>
      <c r="G459" s="56" t="n">
        <v>1</v>
      </c>
      <c r="H459" s="57" t="n">
        <f aca="false">G459*8/$D$455</f>
        <v>4</v>
      </c>
      <c r="I459" s="1" t="n">
        <v>26.11</v>
      </c>
      <c r="J459" s="28" t="n">
        <f aca="false">H459*I459</f>
        <v>104.44</v>
      </c>
      <c r="N459" s="14"/>
    </row>
    <row r="460" customFormat="false" ht="15" hidden="false" customHeight="false" outlineLevel="0" collapsed="false">
      <c r="F460" s="55"/>
      <c r="G460" s="56"/>
      <c r="H460" s="57"/>
      <c r="J460" s="53" t="n">
        <f aca="false">SUM(J458:J459)</f>
        <v>198.84</v>
      </c>
      <c r="M460" s="14"/>
      <c r="N460" s="14"/>
    </row>
    <row r="461" customFormat="false" ht="15" hidden="false" customHeight="false" outlineLevel="0" collapsed="false">
      <c r="B461" s="54" t="s">
        <v>654</v>
      </c>
      <c r="F461" s="55"/>
      <c r="G461" s="56"/>
      <c r="H461" s="57"/>
      <c r="I461" s="57"/>
      <c r="J461" s="28"/>
      <c r="N461" s="14"/>
    </row>
    <row r="462" customFormat="false" ht="15" hidden="false" customHeight="false" outlineLevel="0" collapsed="false">
      <c r="B462" s="1" t="s">
        <v>1215</v>
      </c>
      <c r="F462" s="55" t="s">
        <v>150</v>
      </c>
      <c r="H462" s="57" t="n">
        <v>1</v>
      </c>
      <c r="I462" s="28" t="n">
        <v>325.7</v>
      </c>
      <c r="J462" s="28" t="n">
        <f aca="false">H462*I462</f>
        <v>325.7</v>
      </c>
      <c r="N462" s="14"/>
    </row>
    <row r="463" customFormat="false" ht="15" hidden="false" customHeight="false" outlineLevel="0" collapsed="false">
      <c r="J463" s="53" t="n">
        <f aca="false">SUM(J462:J462)</f>
        <v>325.7</v>
      </c>
    </row>
    <row r="464" customFormat="false" ht="15" hidden="false" customHeight="false" outlineLevel="0" collapsed="false">
      <c r="B464" s="54" t="s">
        <v>310</v>
      </c>
    </row>
    <row r="465" customFormat="false" ht="15" hidden="false" customHeight="false" outlineLevel="0" collapsed="false">
      <c r="B465" s="1" t="s">
        <v>311</v>
      </c>
      <c r="F465" s="55" t="s">
        <v>312</v>
      </c>
      <c r="H465" s="57" t="n">
        <v>3</v>
      </c>
      <c r="I465" s="28" t="n">
        <f aca="false">J460</f>
        <v>198.84</v>
      </c>
      <c r="J465" s="28" t="n">
        <f aca="false">H465%*I465</f>
        <v>5.9652</v>
      </c>
    </row>
    <row r="466" customFormat="false" ht="15" hidden="false" customHeight="false" outlineLevel="0" collapsed="false">
      <c r="A466" s="60"/>
      <c r="B466" s="60"/>
      <c r="C466" s="60"/>
      <c r="D466" s="60"/>
      <c r="E466" s="60"/>
      <c r="F466" s="60"/>
      <c r="G466" s="60"/>
      <c r="H466" s="60"/>
      <c r="I466" s="80"/>
      <c r="J466" s="61" t="n">
        <f aca="false">SUM(J465:J465)</f>
        <v>5.9652</v>
      </c>
    </row>
    <row r="468" customFormat="false" ht="15" hidden="false" customHeight="false" outlineLevel="0" collapsed="false">
      <c r="A468" s="14" t="s">
        <v>278</v>
      </c>
      <c r="B468" s="14" t="str">
        <f aca="false">COMUNICACIONES!A37</f>
        <v>06.04.02</v>
      </c>
      <c r="C468" s="14" t="s">
        <v>1165</v>
      </c>
      <c r="D468" s="14"/>
    </row>
    <row r="469" customFormat="false" ht="15" hidden="false" customHeight="false" outlineLevel="0" collapsed="false">
      <c r="A469" s="14" t="s">
        <v>279</v>
      </c>
      <c r="B469" s="14" t="s">
        <v>326</v>
      </c>
      <c r="C469" s="36" t="s">
        <v>281</v>
      </c>
      <c r="D469" s="52" t="n">
        <v>2</v>
      </c>
      <c r="E469" s="36" t="s">
        <v>282</v>
      </c>
      <c r="F469" s="52" t="n">
        <f aca="false">D469</f>
        <v>2</v>
      </c>
      <c r="G469" s="14" t="s">
        <v>283</v>
      </c>
      <c r="I469" s="36" t="s">
        <v>150</v>
      </c>
      <c r="J469" s="53" t="n">
        <f aca="false">J474+J477+J481</f>
        <v>367.6688</v>
      </c>
    </row>
    <row r="470" customFormat="false" ht="15" hidden="false" customHeight="false" outlineLevel="0" collapsed="false">
      <c r="A470" s="14" t="s">
        <v>284</v>
      </c>
      <c r="B470" s="14" t="s">
        <v>285</v>
      </c>
      <c r="F470" s="36" t="s">
        <v>123</v>
      </c>
      <c r="G470" s="36" t="s">
        <v>286</v>
      </c>
      <c r="H470" s="36" t="s">
        <v>287</v>
      </c>
      <c r="I470" s="36" t="s">
        <v>288</v>
      </c>
      <c r="J470" s="36" t="s">
        <v>289</v>
      </c>
    </row>
    <row r="471" customFormat="false" ht="15" hidden="false" customHeight="false" outlineLevel="0" collapsed="false">
      <c r="B471" s="54" t="s">
        <v>290</v>
      </c>
    </row>
    <row r="472" customFormat="false" ht="15" hidden="false" customHeight="false" outlineLevel="0" collapsed="false">
      <c r="B472" s="1" t="s">
        <v>293</v>
      </c>
      <c r="F472" s="55" t="s">
        <v>292</v>
      </c>
      <c r="G472" s="56" t="n">
        <v>1</v>
      </c>
      <c r="H472" s="57" t="n">
        <f aca="false">G472*8/$D$469</f>
        <v>4</v>
      </c>
      <c r="I472" s="28" t="n">
        <v>23.6</v>
      </c>
      <c r="J472" s="28" t="n">
        <f aca="false">H472*I472</f>
        <v>94.4</v>
      </c>
    </row>
    <row r="473" customFormat="false" ht="15" hidden="false" customHeight="false" outlineLevel="0" collapsed="false">
      <c r="B473" s="1" t="s">
        <v>1173</v>
      </c>
      <c r="F473" s="55" t="s">
        <v>292</v>
      </c>
      <c r="G473" s="56" t="n">
        <v>1</v>
      </c>
      <c r="H473" s="57" t="n">
        <f aca="false">G473*8/$D$469</f>
        <v>4</v>
      </c>
      <c r="I473" s="1" t="n">
        <v>26.11</v>
      </c>
      <c r="J473" s="28" t="n">
        <f aca="false">H473*I473</f>
        <v>104.44</v>
      </c>
    </row>
    <row r="474" customFormat="false" ht="15" hidden="false" customHeight="false" outlineLevel="0" collapsed="false">
      <c r="F474" s="55"/>
      <c r="G474" s="56"/>
      <c r="H474" s="57"/>
      <c r="J474" s="53" t="n">
        <f aca="false">SUM(J472:J473)</f>
        <v>198.84</v>
      </c>
    </row>
    <row r="475" customFormat="false" ht="15" hidden="false" customHeight="false" outlineLevel="0" collapsed="false">
      <c r="B475" s="54" t="s">
        <v>654</v>
      </c>
      <c r="F475" s="55"/>
      <c r="G475" s="56"/>
      <c r="H475" s="57"/>
      <c r="I475" s="57"/>
      <c r="J475" s="28"/>
    </row>
    <row r="476" customFormat="false" ht="15" hidden="false" customHeight="false" outlineLevel="0" collapsed="false">
      <c r="B476" s="1" t="s">
        <v>1165</v>
      </c>
      <c r="F476" s="55" t="s">
        <v>150</v>
      </c>
      <c r="H476" s="57" t="n">
        <v>1</v>
      </c>
      <c r="I476" s="28" t="n">
        <v>162.45</v>
      </c>
      <c r="J476" s="28" t="n">
        <f aca="false">H476*I476</f>
        <v>162.45</v>
      </c>
    </row>
    <row r="477" customFormat="false" ht="15" hidden="false" customHeight="false" outlineLevel="0" collapsed="false">
      <c r="J477" s="53" t="n">
        <f aca="false">SUM(J476:J476)</f>
        <v>162.45</v>
      </c>
    </row>
    <row r="478" customFormat="false" ht="15" hidden="false" customHeight="false" outlineLevel="0" collapsed="false">
      <c r="B478" s="54" t="s">
        <v>310</v>
      </c>
    </row>
    <row r="479" customFormat="false" ht="15" hidden="false" customHeight="false" outlineLevel="0" collapsed="false">
      <c r="B479" s="1" t="s">
        <v>311</v>
      </c>
      <c r="F479" s="55" t="s">
        <v>312</v>
      </c>
      <c r="H479" s="57" t="n">
        <v>3</v>
      </c>
      <c r="I479" s="28" t="n">
        <f aca="false">J474</f>
        <v>198.84</v>
      </c>
      <c r="J479" s="28" t="n">
        <f aca="false">H479%*I479</f>
        <v>5.9652</v>
      </c>
    </row>
    <row r="480" customFormat="false" ht="15" hidden="false" customHeight="false" outlineLevel="0" collapsed="false">
      <c r="B480" s="1" t="s">
        <v>866</v>
      </c>
      <c r="F480" s="55" t="s">
        <v>867</v>
      </c>
      <c r="G480" s="56" t="n">
        <v>1</v>
      </c>
      <c r="H480" s="57" t="n">
        <f aca="false">G480*8/$D$469</f>
        <v>4</v>
      </c>
      <c r="I480" s="88" t="n">
        <v>10.34</v>
      </c>
      <c r="J480" s="28" t="n">
        <f aca="false">H480%*I480</f>
        <v>0.4136</v>
      </c>
    </row>
    <row r="481" customFormat="false" ht="15" hidden="false" customHeight="false" outlineLevel="0" collapsed="false">
      <c r="A481" s="60"/>
      <c r="B481" s="60"/>
      <c r="C481" s="60"/>
      <c r="D481" s="60"/>
      <c r="E481" s="60"/>
      <c r="F481" s="60"/>
      <c r="G481" s="60"/>
      <c r="H481" s="60"/>
      <c r="I481" s="80"/>
      <c r="J481" s="61" t="n">
        <f aca="false">SUM(J479:J480)</f>
        <v>6.3788</v>
      </c>
    </row>
    <row r="483" customFormat="false" ht="15" hidden="false" customHeight="false" outlineLevel="0" collapsed="false">
      <c r="A483" s="14" t="s">
        <v>278</v>
      </c>
      <c r="B483" s="14" t="str">
        <f aca="false">COMUNICACIONES!A39</f>
        <v>06.05.01</v>
      </c>
      <c r="C483" s="14" t="s">
        <v>1168</v>
      </c>
      <c r="D483" s="14"/>
    </row>
    <row r="484" customFormat="false" ht="15" hidden="false" customHeight="false" outlineLevel="0" collapsed="false">
      <c r="A484" s="14" t="s">
        <v>279</v>
      </c>
      <c r="B484" s="14" t="s">
        <v>326</v>
      </c>
      <c r="C484" s="36" t="s">
        <v>281</v>
      </c>
      <c r="D484" s="52" t="n">
        <v>1</v>
      </c>
      <c r="E484" s="36" t="s">
        <v>282</v>
      </c>
      <c r="F484" s="52" t="n">
        <f aca="false">D484</f>
        <v>1</v>
      </c>
      <c r="G484" s="14" t="s">
        <v>283</v>
      </c>
      <c r="I484" s="36" t="s">
        <v>150</v>
      </c>
      <c r="J484" s="53" t="n">
        <f aca="false">J488+J491+J494</f>
        <v>957.174</v>
      </c>
    </row>
    <row r="485" customFormat="false" ht="15" hidden="false" customHeight="false" outlineLevel="0" collapsed="false">
      <c r="A485" s="14" t="s">
        <v>284</v>
      </c>
      <c r="B485" s="14" t="s">
        <v>285</v>
      </c>
      <c r="F485" s="36" t="s">
        <v>123</v>
      </c>
      <c r="G485" s="36" t="s">
        <v>286</v>
      </c>
      <c r="H485" s="36" t="s">
        <v>287</v>
      </c>
      <c r="I485" s="36" t="s">
        <v>288</v>
      </c>
      <c r="J485" s="36" t="s">
        <v>289</v>
      </c>
    </row>
    <row r="486" customFormat="false" ht="15" hidden="false" customHeight="false" outlineLevel="0" collapsed="false">
      <c r="B486" s="54" t="s">
        <v>290</v>
      </c>
    </row>
    <row r="487" customFormat="false" ht="15" hidden="false" customHeight="false" outlineLevel="0" collapsed="false">
      <c r="B487" s="1" t="s">
        <v>680</v>
      </c>
      <c r="F487" s="55" t="s">
        <v>292</v>
      </c>
      <c r="G487" s="56" t="n">
        <v>1</v>
      </c>
      <c r="H487" s="57" t="n">
        <f aca="false">G487*8/$D$484</f>
        <v>8</v>
      </c>
      <c r="I487" s="1" t="n">
        <v>23.6</v>
      </c>
      <c r="J487" s="28" t="n">
        <f aca="false">H487*I487</f>
        <v>188.8</v>
      </c>
    </row>
    <row r="488" customFormat="false" ht="15" hidden="false" customHeight="false" outlineLevel="0" collapsed="false">
      <c r="F488" s="55"/>
      <c r="G488" s="56"/>
      <c r="H488" s="57"/>
      <c r="J488" s="53" t="n">
        <f aca="false">SUM(J487:J487)</f>
        <v>188.8</v>
      </c>
    </row>
    <row r="489" customFormat="false" ht="15" hidden="false" customHeight="false" outlineLevel="0" collapsed="false">
      <c r="B489" s="54" t="s">
        <v>654</v>
      </c>
      <c r="F489" s="55"/>
      <c r="G489" s="56"/>
      <c r="H489" s="57"/>
      <c r="I489" s="57"/>
      <c r="J489" s="28"/>
    </row>
    <row r="490" customFormat="false" ht="15" hidden="false" customHeight="false" outlineLevel="0" collapsed="false">
      <c r="B490" s="1" t="s">
        <v>1216</v>
      </c>
      <c r="F490" s="55" t="s">
        <v>150</v>
      </c>
      <c r="H490" s="57" t="n">
        <v>1</v>
      </c>
      <c r="I490" s="28" t="n">
        <v>762.71</v>
      </c>
      <c r="J490" s="28" t="n">
        <f aca="false">H490*I490</f>
        <v>762.71</v>
      </c>
    </row>
    <row r="491" customFormat="false" ht="15" hidden="false" customHeight="false" outlineLevel="0" collapsed="false">
      <c r="J491" s="53" t="n">
        <f aca="false">SUM(J490:J490)</f>
        <v>762.71</v>
      </c>
    </row>
    <row r="492" customFormat="false" ht="15" hidden="false" customHeight="false" outlineLevel="0" collapsed="false">
      <c r="B492" s="54" t="s">
        <v>310</v>
      </c>
    </row>
    <row r="493" customFormat="false" ht="15" hidden="false" customHeight="false" outlineLevel="0" collapsed="false">
      <c r="B493" s="1" t="s">
        <v>311</v>
      </c>
      <c r="F493" s="55" t="s">
        <v>312</v>
      </c>
      <c r="H493" s="57" t="n">
        <v>3</v>
      </c>
      <c r="I493" s="28" t="n">
        <f aca="false">J488</f>
        <v>188.8</v>
      </c>
      <c r="J493" s="28" t="n">
        <f aca="false">H493%*I493</f>
        <v>5.664</v>
      </c>
    </row>
    <row r="494" customFormat="false" ht="15" hidden="false" customHeight="false" outlineLevel="0" collapsed="false">
      <c r="A494" s="60"/>
      <c r="B494" s="60"/>
      <c r="C494" s="60"/>
      <c r="D494" s="60"/>
      <c r="E494" s="60"/>
      <c r="F494" s="60"/>
      <c r="G494" s="60"/>
      <c r="H494" s="60"/>
      <c r="I494" s="80"/>
      <c r="J494" s="61" t="n">
        <f aca="false">SUM(J493)</f>
        <v>5.664</v>
      </c>
    </row>
    <row r="496" customFormat="false" ht="15" hidden="false" customHeight="false" outlineLevel="0" collapsed="false">
      <c r="A496" s="14" t="s">
        <v>278</v>
      </c>
      <c r="B496" s="14" t="str">
        <f aca="false">COMUNICACIONES!A40</f>
        <v>06.05.02</v>
      </c>
      <c r="C496" s="14" t="s">
        <v>1170</v>
      </c>
      <c r="D496" s="14"/>
    </row>
    <row r="497" customFormat="false" ht="15" hidden="false" customHeight="false" outlineLevel="0" collapsed="false">
      <c r="A497" s="14" t="s">
        <v>279</v>
      </c>
      <c r="B497" s="14" t="s">
        <v>326</v>
      </c>
      <c r="C497" s="36" t="s">
        <v>281</v>
      </c>
      <c r="D497" s="52" t="n">
        <v>8</v>
      </c>
      <c r="E497" s="36" t="s">
        <v>282</v>
      </c>
      <c r="F497" s="52" t="n">
        <f aca="false">D497</f>
        <v>8</v>
      </c>
      <c r="G497" s="14" t="s">
        <v>283</v>
      </c>
      <c r="I497" s="36" t="s">
        <v>150</v>
      </c>
      <c r="J497" s="53" t="n">
        <f aca="false">J503+J506+J510</f>
        <v>96.14409</v>
      </c>
    </row>
    <row r="498" customFormat="false" ht="15" hidden="false" customHeight="false" outlineLevel="0" collapsed="false">
      <c r="A498" s="14" t="s">
        <v>284</v>
      </c>
      <c r="B498" s="14" t="s">
        <v>285</v>
      </c>
      <c r="F498" s="36" t="s">
        <v>123</v>
      </c>
      <c r="G498" s="36" t="s">
        <v>286</v>
      </c>
      <c r="H498" s="36" t="s">
        <v>287</v>
      </c>
      <c r="I498" s="36" t="s">
        <v>288</v>
      </c>
      <c r="J498" s="36" t="s">
        <v>289</v>
      </c>
      <c r="L498" s="14"/>
    </row>
    <row r="499" customFormat="false" ht="15" hidden="false" customHeight="false" outlineLevel="0" collapsed="false">
      <c r="B499" s="54" t="s">
        <v>290</v>
      </c>
      <c r="L499" s="14"/>
    </row>
    <row r="500" customFormat="false" ht="15" hidden="false" customHeight="false" outlineLevel="0" collapsed="false">
      <c r="B500" s="1" t="s">
        <v>651</v>
      </c>
      <c r="F500" s="55" t="s">
        <v>292</v>
      </c>
      <c r="G500" s="56" t="n">
        <v>0.1</v>
      </c>
      <c r="H500" s="57" t="n">
        <f aca="false">G500*8/$D$497</f>
        <v>0.1</v>
      </c>
      <c r="I500" s="1" t="n">
        <v>34.73</v>
      </c>
      <c r="J500" s="28" t="n">
        <f aca="false">H500*I500</f>
        <v>3.473</v>
      </c>
      <c r="L500" s="14"/>
      <c r="M500" s="14"/>
    </row>
    <row r="501" customFormat="false" ht="15" hidden="false" customHeight="false" outlineLevel="0" collapsed="false">
      <c r="B501" s="1" t="s">
        <v>291</v>
      </c>
      <c r="F501" s="55" t="s">
        <v>292</v>
      </c>
      <c r="G501" s="56" t="n">
        <v>1</v>
      </c>
      <c r="H501" s="57" t="n">
        <f aca="false">G501*8/$D$497</f>
        <v>1</v>
      </c>
      <c r="I501" s="1" t="n">
        <v>28.94</v>
      </c>
      <c r="J501" s="28" t="n">
        <f aca="false">H501*I501</f>
        <v>28.94</v>
      </c>
      <c r="M501" s="54"/>
    </row>
    <row r="502" customFormat="false" ht="15" hidden="false" customHeight="false" outlineLevel="0" collapsed="false">
      <c r="B502" s="1" t="s">
        <v>294</v>
      </c>
      <c r="F502" s="55" t="s">
        <v>292</v>
      </c>
      <c r="G502" s="56" t="n">
        <v>1</v>
      </c>
      <c r="H502" s="57" t="n">
        <f aca="false">G502*8/$D$497</f>
        <v>1</v>
      </c>
      <c r="I502" s="1" t="n">
        <v>20.51</v>
      </c>
      <c r="J502" s="28" t="n">
        <f aca="false">H502*I502</f>
        <v>20.51</v>
      </c>
    </row>
    <row r="503" customFormat="false" ht="15" hidden="false" customHeight="false" outlineLevel="0" collapsed="false">
      <c r="F503" s="55"/>
      <c r="G503" s="56"/>
      <c r="H503" s="57"/>
      <c r="J503" s="53" t="n">
        <f aca="false">SUM(J500:J502)</f>
        <v>52.923</v>
      </c>
    </row>
    <row r="504" customFormat="false" ht="15" hidden="false" customHeight="false" outlineLevel="0" collapsed="false">
      <c r="B504" s="54" t="s">
        <v>654</v>
      </c>
      <c r="F504" s="55"/>
      <c r="G504" s="56"/>
      <c r="H504" s="57"/>
      <c r="I504" s="57"/>
      <c r="J504" s="28"/>
    </row>
    <row r="505" customFormat="false" ht="15" hidden="false" customHeight="false" outlineLevel="0" collapsed="false">
      <c r="B505" s="1" t="s">
        <v>1217</v>
      </c>
      <c r="F505" s="55" t="s">
        <v>150</v>
      </c>
      <c r="H505" s="57" t="n">
        <v>1</v>
      </c>
      <c r="I505" s="28" t="n">
        <v>41.53</v>
      </c>
      <c r="J505" s="28" t="n">
        <f aca="false">H505*I505</f>
        <v>41.53</v>
      </c>
    </row>
    <row r="506" customFormat="false" ht="15" hidden="false" customHeight="false" outlineLevel="0" collapsed="false">
      <c r="J506" s="53" t="n">
        <f aca="false">SUM(J505:J505)</f>
        <v>41.53</v>
      </c>
    </row>
    <row r="507" customFormat="false" ht="15" hidden="false" customHeight="false" outlineLevel="0" collapsed="false">
      <c r="B507" s="54" t="s">
        <v>310</v>
      </c>
      <c r="M507" s="54"/>
    </row>
    <row r="508" customFormat="false" ht="15" hidden="false" customHeight="false" outlineLevel="0" collapsed="false">
      <c r="B508" s="1" t="s">
        <v>311</v>
      </c>
      <c r="F508" s="55" t="s">
        <v>312</v>
      </c>
      <c r="H508" s="57" t="n">
        <v>3</v>
      </c>
      <c r="I508" s="28" t="n">
        <f aca="false">J503</f>
        <v>52.923</v>
      </c>
      <c r="J508" s="28" t="n">
        <f aca="false">H508%*I508</f>
        <v>1.58769</v>
      </c>
    </row>
    <row r="509" customFormat="false" ht="15" hidden="false" customHeight="false" outlineLevel="0" collapsed="false">
      <c r="B509" s="1" t="s">
        <v>866</v>
      </c>
      <c r="F509" s="55" t="s">
        <v>867</v>
      </c>
      <c r="G509" s="56" t="n">
        <v>1</v>
      </c>
      <c r="H509" s="57" t="n">
        <f aca="false">G509*8/$D$497</f>
        <v>1</v>
      </c>
      <c r="I509" s="88" t="n">
        <v>10.34</v>
      </c>
      <c r="J509" s="28" t="n">
        <f aca="false">H509%*I509</f>
        <v>0.1034</v>
      </c>
    </row>
    <row r="510" customFormat="false" ht="15" hidden="false" customHeight="false" outlineLevel="0" collapsed="false">
      <c r="A510" s="60"/>
      <c r="B510" s="60"/>
      <c r="C510" s="60"/>
      <c r="D510" s="60"/>
      <c r="E510" s="60"/>
      <c r="F510" s="60"/>
      <c r="G510" s="60"/>
      <c r="H510" s="60"/>
      <c r="I510" s="80"/>
      <c r="J510" s="61" t="n">
        <f aca="false">SUM(J508:J509)</f>
        <v>1.69109</v>
      </c>
      <c r="M510" s="54"/>
    </row>
    <row r="512" customFormat="false" ht="15" hidden="false" customHeight="false" outlineLevel="0" collapsed="false">
      <c r="A512" s="14" t="s">
        <v>278</v>
      </c>
      <c r="B512" s="14" t="str">
        <f aca="false">COMUNICACIONES!A41</f>
        <v>06.05.03</v>
      </c>
      <c r="C512" s="14" t="s">
        <v>1172</v>
      </c>
      <c r="D512" s="14"/>
    </row>
    <row r="513" customFormat="false" ht="15" hidden="false" customHeight="false" outlineLevel="0" collapsed="false">
      <c r="A513" s="14" t="s">
        <v>279</v>
      </c>
      <c r="B513" s="14" t="s">
        <v>326</v>
      </c>
      <c r="C513" s="36" t="s">
        <v>281</v>
      </c>
      <c r="D513" s="52" t="n">
        <v>8</v>
      </c>
      <c r="E513" s="36" t="s">
        <v>282</v>
      </c>
      <c r="F513" s="52" t="n">
        <f aca="false">D513</f>
        <v>8</v>
      </c>
      <c r="G513" s="14" t="s">
        <v>283</v>
      </c>
      <c r="I513" s="36" t="s">
        <v>150</v>
      </c>
      <c r="J513" s="53" t="n">
        <f aca="false">J519+J524+J527</f>
        <v>64.33069</v>
      </c>
    </row>
    <row r="514" customFormat="false" ht="15" hidden="false" customHeight="false" outlineLevel="0" collapsed="false">
      <c r="A514" s="14" t="s">
        <v>284</v>
      </c>
      <c r="B514" s="14" t="s">
        <v>285</v>
      </c>
      <c r="F514" s="36" t="s">
        <v>123</v>
      </c>
      <c r="G514" s="36" t="s">
        <v>286</v>
      </c>
      <c r="H514" s="36" t="s">
        <v>287</v>
      </c>
      <c r="I514" s="36" t="s">
        <v>288</v>
      </c>
      <c r="J514" s="36" t="s">
        <v>289</v>
      </c>
    </row>
    <row r="515" customFormat="false" ht="15" hidden="false" customHeight="false" outlineLevel="0" collapsed="false">
      <c r="B515" s="54" t="s">
        <v>290</v>
      </c>
    </row>
    <row r="516" customFormat="false" ht="15" hidden="false" customHeight="false" outlineLevel="0" collapsed="false">
      <c r="B516" s="1" t="s">
        <v>651</v>
      </c>
      <c r="F516" s="55" t="s">
        <v>292</v>
      </c>
      <c r="G516" s="56" t="n">
        <v>0.1</v>
      </c>
      <c r="H516" s="57" t="n">
        <f aca="false">G516*8/$D$513</f>
        <v>0.1</v>
      </c>
      <c r="I516" s="1" t="n">
        <v>34.73</v>
      </c>
      <c r="J516" s="28" t="n">
        <f aca="false">H516*I516</f>
        <v>3.473</v>
      </c>
    </row>
    <row r="517" customFormat="false" ht="15" hidden="false" customHeight="false" outlineLevel="0" collapsed="false">
      <c r="B517" s="1" t="s">
        <v>291</v>
      </c>
      <c r="F517" s="55" t="s">
        <v>292</v>
      </c>
      <c r="G517" s="56" t="n">
        <v>1</v>
      </c>
      <c r="H517" s="57" t="n">
        <f aca="false">G517*8/$D$513</f>
        <v>1</v>
      </c>
      <c r="I517" s="1" t="n">
        <v>28.94</v>
      </c>
      <c r="J517" s="28" t="n">
        <f aca="false">H517*I517</f>
        <v>28.94</v>
      </c>
    </row>
    <row r="518" customFormat="false" ht="15" hidden="false" customHeight="false" outlineLevel="0" collapsed="false">
      <c r="B518" s="1" t="s">
        <v>294</v>
      </c>
      <c r="F518" s="55" t="s">
        <v>292</v>
      </c>
      <c r="G518" s="56" t="n">
        <v>1</v>
      </c>
      <c r="H518" s="57" t="n">
        <f aca="false">G518*8/$D$513</f>
        <v>1</v>
      </c>
      <c r="I518" s="1" t="n">
        <v>20.51</v>
      </c>
      <c r="J518" s="28" t="n">
        <f aca="false">H518*I518</f>
        <v>20.51</v>
      </c>
    </row>
    <row r="519" customFormat="false" ht="15" hidden="false" customHeight="false" outlineLevel="0" collapsed="false">
      <c r="F519" s="55"/>
      <c r="G519" s="56"/>
      <c r="H519" s="57"/>
      <c r="J519" s="53" t="n">
        <f aca="false">SUM(J516:J518)</f>
        <v>52.923</v>
      </c>
    </row>
    <row r="520" customFormat="false" ht="15" hidden="false" customHeight="false" outlineLevel="0" collapsed="false">
      <c r="B520" s="54" t="s">
        <v>654</v>
      </c>
      <c r="F520" s="55"/>
      <c r="G520" s="56"/>
      <c r="H520" s="57"/>
      <c r="I520" s="57"/>
      <c r="J520" s="28"/>
    </row>
    <row r="521" customFormat="false" ht="15" hidden="false" customHeight="false" outlineLevel="0" collapsed="false">
      <c r="B521" s="1" t="s">
        <v>1190</v>
      </c>
      <c r="F521" s="55" t="s">
        <v>150</v>
      </c>
      <c r="H521" s="57" t="n">
        <v>2</v>
      </c>
      <c r="I521" s="28" t="n">
        <v>2.54</v>
      </c>
      <c r="J521" s="28" t="n">
        <f aca="false">H521*I521</f>
        <v>5.08</v>
      </c>
    </row>
    <row r="522" customFormat="false" ht="15" hidden="false" customHeight="false" outlineLevel="0" collapsed="false">
      <c r="B522" s="1" t="s">
        <v>1218</v>
      </c>
      <c r="F522" s="55" t="s">
        <v>150</v>
      </c>
      <c r="H522" s="57" t="n">
        <v>1</v>
      </c>
      <c r="I522" s="28" t="n">
        <v>3.81</v>
      </c>
      <c r="J522" s="28" t="n">
        <f aca="false">H522*I522</f>
        <v>3.81</v>
      </c>
    </row>
    <row r="523" customFormat="false" ht="15" hidden="false" customHeight="false" outlineLevel="0" collapsed="false">
      <c r="B523" s="1" t="s">
        <v>1177</v>
      </c>
      <c r="F523" s="55" t="s">
        <v>150</v>
      </c>
      <c r="H523" s="57" t="n">
        <v>1</v>
      </c>
      <c r="I523" s="28" t="n">
        <v>0.93</v>
      </c>
      <c r="J523" s="28" t="n">
        <f aca="false">H523*I523</f>
        <v>0.93</v>
      </c>
      <c r="M523" s="14"/>
      <c r="N523" s="14"/>
    </row>
    <row r="524" customFormat="false" ht="15" hidden="false" customHeight="false" outlineLevel="0" collapsed="false">
      <c r="J524" s="53" t="n">
        <f aca="false">SUM(J521:J523)</f>
        <v>9.82</v>
      </c>
      <c r="N524" s="14"/>
    </row>
    <row r="525" customFormat="false" ht="15" hidden="false" customHeight="false" outlineLevel="0" collapsed="false">
      <c r="B525" s="54" t="s">
        <v>310</v>
      </c>
      <c r="N525" s="14"/>
    </row>
    <row r="526" customFormat="false" ht="15" hidden="false" customHeight="false" outlineLevel="0" collapsed="false">
      <c r="B526" s="1" t="s">
        <v>311</v>
      </c>
      <c r="F526" s="55" t="s">
        <v>312</v>
      </c>
      <c r="H526" s="57" t="n">
        <v>3</v>
      </c>
      <c r="I526" s="28" t="n">
        <f aca="false">J519</f>
        <v>52.923</v>
      </c>
      <c r="J526" s="28" t="n">
        <f aca="false">H526%*I526</f>
        <v>1.58769</v>
      </c>
      <c r="M526" s="14"/>
      <c r="N526" s="14"/>
    </row>
    <row r="527" customFormat="false" ht="15" hidden="false" customHeight="false" outlineLevel="0" collapsed="false">
      <c r="A527" s="60"/>
      <c r="B527" s="60"/>
      <c r="C527" s="60"/>
      <c r="D527" s="60"/>
      <c r="E527" s="60"/>
      <c r="F527" s="60"/>
      <c r="G527" s="60"/>
      <c r="H527" s="60"/>
      <c r="I527" s="80"/>
      <c r="J527" s="61" t="n">
        <f aca="false">SUM(J526)</f>
        <v>1.58769</v>
      </c>
      <c r="M527" s="14"/>
      <c r="N527" s="14"/>
    </row>
    <row r="528" customFormat="false" ht="15" hidden="false" customHeight="false" outlineLevel="0" collapsed="false">
      <c r="M528" s="14"/>
      <c r="N528" s="14"/>
    </row>
    <row r="529" customFormat="false" ht="15" hidden="false" customHeight="false" outlineLevel="0" collapsed="false">
      <c r="M529" s="14"/>
      <c r="N529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2:AI1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12" activeCellId="0" sqref="L12"/>
    </sheetView>
  </sheetViews>
  <sheetFormatPr defaultColWidth="8.59765625" defaultRowHeight="15" zeroHeight="false" outlineLevelRow="0" outlineLevelCol="0"/>
  <cols>
    <col collapsed="false" customWidth="true" hidden="false" outlineLevel="0" max="8" min="8" style="1" width="9.3"/>
    <col collapsed="false" customWidth="true" hidden="false" outlineLevel="0" max="9" min="9" style="1" width="11.15"/>
    <col collapsed="false" customWidth="true" hidden="false" outlineLevel="0" max="10" min="10" style="1" width="11.28"/>
    <col collapsed="false" customWidth="true" hidden="false" outlineLevel="0" max="11" min="11" style="1" width="13"/>
    <col collapsed="false" customWidth="true" hidden="false" outlineLevel="0" max="12" min="12" style="1" width="9.3"/>
    <col collapsed="false" customWidth="true" hidden="false" outlineLevel="0" max="14" min="14" style="1" width="10.57"/>
    <col collapsed="false" customWidth="true" hidden="false" outlineLevel="0" max="20" min="20" style="1" width="9.3"/>
    <col collapsed="false" customWidth="true" hidden="false" outlineLevel="0" max="25" min="25" style="1" width="10.43"/>
    <col collapsed="false" customWidth="true" hidden="false" outlineLevel="0" max="26" min="26" style="1" width="11"/>
    <col collapsed="false" customWidth="true" hidden="false" outlineLevel="0" max="34" min="34" style="1" width="9.86"/>
  </cols>
  <sheetData>
    <row r="2" customFormat="false" ht="15" hidden="false" customHeight="false" outlineLevel="0" collapsed="false">
      <c r="M2" s="157" t="s">
        <v>1219</v>
      </c>
      <c r="N2" s="157" t="n">
        <f aca="false">'Datos iniciales '!C3</f>
        <v>2248.76</v>
      </c>
    </row>
    <row r="3" customFormat="false" ht="15" hidden="false" customHeight="false" outlineLevel="0" collapsed="false">
      <c r="E3" s="36" t="s">
        <v>1220</v>
      </c>
      <c r="F3" s="36" t="s">
        <v>1221</v>
      </c>
      <c r="G3" s="36" t="s">
        <v>123</v>
      </c>
      <c r="H3" s="36" t="s">
        <v>124</v>
      </c>
      <c r="I3" s="36" t="s">
        <v>125</v>
      </c>
      <c r="J3" s="36" t="s">
        <v>454</v>
      </c>
      <c r="K3" s="36" t="s">
        <v>455</v>
      </c>
      <c r="M3" s="157" t="s">
        <v>1222</v>
      </c>
      <c r="N3" s="157" t="n">
        <f aca="false">'Datos iniciales '!B3</f>
        <v>3459.53</v>
      </c>
    </row>
    <row r="4" customFormat="false" ht="15" hidden="false" customHeight="false" outlineLevel="0" collapsed="false">
      <c r="G4" s="158"/>
      <c r="H4" s="71"/>
      <c r="I4" s="28"/>
      <c r="K4" s="9"/>
      <c r="M4" s="157" t="s">
        <v>1223</v>
      </c>
      <c r="N4" s="157" t="n">
        <f aca="false">'Datos iniciales '!D3</f>
        <v>12</v>
      </c>
      <c r="O4" s="1" t="s">
        <v>1224</v>
      </c>
    </row>
    <row r="5" customFormat="false" ht="15" hidden="false" customHeight="false" outlineLevel="0" collapsed="false">
      <c r="K5" s="9"/>
      <c r="M5" s="157"/>
      <c r="N5" s="157"/>
    </row>
    <row r="6" customFormat="false" ht="15" hidden="false" customHeight="false" outlineLevel="0" collapsed="false">
      <c r="A6" s="15" t="s">
        <v>128</v>
      </c>
      <c r="B6" s="15"/>
      <c r="C6" s="15"/>
      <c r="D6" s="15"/>
      <c r="E6" s="15"/>
      <c r="Q6" s="14" t="s">
        <v>278</v>
      </c>
      <c r="R6" s="14"/>
      <c r="S6" s="14" t="s">
        <v>133</v>
      </c>
      <c r="T6" s="14"/>
      <c r="U6" s="14"/>
      <c r="V6" s="14"/>
      <c r="W6" s="14"/>
      <c r="X6" s="14"/>
      <c r="Y6" s="14"/>
    </row>
    <row r="7" customFormat="false" ht="15" hidden="false" customHeight="false" outlineLevel="0" collapsed="false">
      <c r="A7" s="39" t="s">
        <v>129</v>
      </c>
      <c r="B7" s="39"/>
      <c r="H7" s="39"/>
      <c r="I7" s="39"/>
      <c r="J7" s="159"/>
      <c r="K7" s="9" t="n">
        <f aca="false">SUM(J9:J112)</f>
        <v>277324.136259838</v>
      </c>
      <c r="Q7" s="14" t="s">
        <v>279</v>
      </c>
      <c r="R7" s="14" t="s">
        <v>280</v>
      </c>
      <c r="S7" s="36" t="s">
        <v>281</v>
      </c>
      <c r="T7" s="52" t="n">
        <v>25</v>
      </c>
      <c r="U7" s="36" t="s">
        <v>282</v>
      </c>
      <c r="V7" s="52" t="n">
        <f aca="false">T7</f>
        <v>25</v>
      </c>
      <c r="W7" s="14" t="s">
        <v>283</v>
      </c>
      <c r="Y7" s="36" t="s">
        <v>150</v>
      </c>
      <c r="Z7" s="53" t="n">
        <f aca="false">Z14+Z26+Z29</f>
        <v>158.90001</v>
      </c>
    </row>
    <row r="8" customFormat="false" ht="15" hidden="false" customHeight="false" outlineLevel="0" collapsed="false">
      <c r="A8" s="42" t="s">
        <v>131</v>
      </c>
      <c r="B8" s="42"/>
      <c r="I8" s="42"/>
      <c r="J8" s="160"/>
      <c r="K8" s="9"/>
      <c r="Q8" s="14" t="s">
        <v>284</v>
      </c>
      <c r="R8" s="14" t="s">
        <v>285</v>
      </c>
      <c r="V8" s="36" t="s">
        <v>123</v>
      </c>
      <c r="W8" s="36" t="s">
        <v>286</v>
      </c>
      <c r="X8" s="36" t="s">
        <v>287</v>
      </c>
      <c r="Y8" s="36" t="s">
        <v>288</v>
      </c>
      <c r="Z8" s="36" t="s">
        <v>289</v>
      </c>
    </row>
    <row r="9" customFormat="false" ht="15" hidden="false" customHeight="false" outlineLevel="0" collapsed="false">
      <c r="A9" s="1" t="s">
        <v>133</v>
      </c>
      <c r="G9" s="1" t="s">
        <v>1225</v>
      </c>
      <c r="H9" s="1" t="n">
        <v>50</v>
      </c>
      <c r="I9" s="28" t="n">
        <f aca="false">Z7</f>
        <v>158.90001</v>
      </c>
      <c r="J9" s="9" t="n">
        <f aca="false">H9*I9</f>
        <v>7945.0005</v>
      </c>
      <c r="K9" s="9"/>
      <c r="R9" s="54" t="s">
        <v>290</v>
      </c>
    </row>
    <row r="10" customFormat="false" ht="15" hidden="false" customHeight="false" outlineLevel="0" collapsed="false">
      <c r="A10" s="1" t="s">
        <v>136</v>
      </c>
      <c r="G10" s="1" t="s">
        <v>1225</v>
      </c>
      <c r="H10" s="1" t="n">
        <f aca="false">ROUND(0.01*N3,0)</f>
        <v>35</v>
      </c>
      <c r="I10" s="28" t="n">
        <f aca="false">Z32</f>
        <v>144.64563</v>
      </c>
      <c r="J10" s="9" t="n">
        <f aca="false">H10*I10</f>
        <v>5062.59705</v>
      </c>
      <c r="V10" s="55"/>
      <c r="W10" s="56"/>
      <c r="X10" s="57"/>
      <c r="Y10" s="28"/>
      <c r="Z10" s="28"/>
    </row>
    <row r="11" customFormat="false" ht="15" hidden="false" customHeight="false" outlineLevel="0" collapsed="false">
      <c r="A11" s="1" t="s">
        <v>138</v>
      </c>
      <c r="G11" s="1" t="s">
        <v>1225</v>
      </c>
      <c r="H11" s="1" t="n">
        <v>8</v>
      </c>
      <c r="I11" s="28" t="n">
        <f aca="false">Z56</f>
        <v>148.03953</v>
      </c>
      <c r="J11" s="9" t="n">
        <f aca="false">H11*I11</f>
        <v>1184.31624</v>
      </c>
      <c r="R11" s="1" t="s">
        <v>291</v>
      </c>
      <c r="V11" s="55" t="s">
        <v>292</v>
      </c>
      <c r="W11" s="56" t="n">
        <v>1</v>
      </c>
      <c r="X11" s="57" t="n">
        <f aca="false">W11*8/$T$7</f>
        <v>0.32</v>
      </c>
      <c r="Y11" s="28" t="n">
        <v>28.94</v>
      </c>
      <c r="Z11" s="28" t="n">
        <f aca="false">X11*Y11</f>
        <v>9.2608</v>
      </c>
    </row>
    <row r="12" customFormat="false" ht="15" hidden="false" customHeight="false" outlineLevel="0" collapsed="false">
      <c r="A12" s="1" t="s">
        <v>140</v>
      </c>
      <c r="G12" s="1" t="s">
        <v>1225</v>
      </c>
      <c r="H12" s="1" t="n">
        <v>50</v>
      </c>
      <c r="I12" s="28" t="n">
        <f aca="false">Z80</f>
        <v>152.56473</v>
      </c>
      <c r="J12" s="9" t="n">
        <f aca="false">H12*I12</f>
        <v>7628.2365</v>
      </c>
      <c r="R12" s="1" t="s">
        <v>293</v>
      </c>
      <c r="V12" s="55" t="s">
        <v>292</v>
      </c>
      <c r="W12" s="56" t="n">
        <v>1</v>
      </c>
      <c r="X12" s="57" t="n">
        <f aca="false">W12*8/$T$7</f>
        <v>0.32</v>
      </c>
      <c r="Y12" s="28" t="n">
        <v>22.66</v>
      </c>
      <c r="Z12" s="28" t="n">
        <f aca="false">X12*Y12</f>
        <v>7.2512</v>
      </c>
    </row>
    <row r="13" customFormat="false" ht="15" hidden="false" customHeight="false" outlineLevel="0" collapsed="false">
      <c r="A13" s="1" t="s">
        <v>142</v>
      </c>
      <c r="G13" s="1" t="s">
        <v>1225</v>
      </c>
      <c r="H13" s="1" t="n">
        <v>25</v>
      </c>
      <c r="I13" s="9" t="n">
        <f aca="false">Z104</f>
        <v>206.192765</v>
      </c>
      <c r="J13" s="9" t="n">
        <f aca="false">H13*I13</f>
        <v>5154.819125</v>
      </c>
      <c r="R13" s="1" t="s">
        <v>294</v>
      </c>
      <c r="V13" s="55" t="s">
        <v>292</v>
      </c>
      <c r="W13" s="56" t="n">
        <v>3</v>
      </c>
      <c r="X13" s="57" t="n">
        <f aca="false">W13*8/$T$7</f>
        <v>0.96</v>
      </c>
      <c r="Y13" s="28" t="n">
        <v>20.51</v>
      </c>
      <c r="Z13" s="28" t="n">
        <f aca="false">X13*Y13</f>
        <v>19.6896</v>
      </c>
    </row>
    <row r="14" customFormat="false" ht="15" hidden="false" customHeight="false" outlineLevel="0" collapsed="false">
      <c r="A14" s="1" t="s">
        <v>144</v>
      </c>
      <c r="G14" s="1" t="s">
        <v>145</v>
      </c>
      <c r="H14" s="28" t="n">
        <f aca="false">4*(N2)^0.5</f>
        <v>189.684369414035</v>
      </c>
      <c r="I14" s="28" t="n">
        <f aca="false">Z128</f>
        <v>44.0695466666667</v>
      </c>
      <c r="J14" s="9" t="n">
        <f aca="false">H14*I14</f>
        <v>8359.30416982905</v>
      </c>
      <c r="Z14" s="53" t="n">
        <f aca="false">SUM(Z10:Z13)</f>
        <v>36.2016</v>
      </c>
    </row>
    <row r="15" customFormat="false" ht="15" hidden="false" customHeight="false" outlineLevel="0" collapsed="false">
      <c r="A15" s="1" t="s">
        <v>147</v>
      </c>
      <c r="G15" s="1" t="s">
        <v>1225</v>
      </c>
      <c r="H15" s="1" t="n">
        <v>16</v>
      </c>
      <c r="I15" s="28" t="n">
        <f aca="false">Z144</f>
        <v>343.16159</v>
      </c>
      <c r="J15" s="9" t="n">
        <f aca="false">H15*I15</f>
        <v>5490.58544</v>
      </c>
      <c r="R15" s="54" t="s">
        <v>295</v>
      </c>
    </row>
    <row r="16" customFormat="false" ht="15" hidden="false" customHeight="false" outlineLevel="0" collapsed="false">
      <c r="A16" s="1" t="s">
        <v>149</v>
      </c>
      <c r="G16" s="1" t="s">
        <v>150</v>
      </c>
      <c r="H16" s="1" t="n">
        <v>2</v>
      </c>
      <c r="I16" s="28" t="n">
        <f aca="false">Z173</f>
        <v>1453.77752</v>
      </c>
      <c r="J16" s="9" t="n">
        <f aca="false">H16*I16</f>
        <v>2907.55504</v>
      </c>
      <c r="R16" s="1" t="s">
        <v>296</v>
      </c>
      <c r="V16" s="55" t="s">
        <v>297</v>
      </c>
      <c r="W16" s="56"/>
      <c r="X16" s="57" t="n">
        <v>1.25</v>
      </c>
      <c r="Y16" s="28" t="n">
        <v>2.64</v>
      </c>
      <c r="Z16" s="28" t="n">
        <f aca="false">X16*Y16</f>
        <v>3.3</v>
      </c>
    </row>
    <row r="17" customFormat="false" ht="15" hidden="false" customHeight="false" outlineLevel="0" collapsed="false">
      <c r="A17" s="42" t="s">
        <v>152</v>
      </c>
      <c r="G17" s="42"/>
      <c r="H17" s="42"/>
      <c r="I17" s="42"/>
      <c r="J17" s="160"/>
      <c r="K17" s="9"/>
      <c r="R17" s="1" t="s">
        <v>298</v>
      </c>
      <c r="V17" s="55" t="s">
        <v>299</v>
      </c>
      <c r="W17" s="56"/>
      <c r="X17" s="57" t="n">
        <v>1.8</v>
      </c>
      <c r="Y17" s="1" t="n">
        <v>14.15</v>
      </c>
      <c r="Z17" s="28" t="n">
        <f aca="false">X17*Y17</f>
        <v>25.47</v>
      </c>
    </row>
    <row r="18" customFormat="false" ht="15" hidden="false" customHeight="false" outlineLevel="0" collapsed="false">
      <c r="A18" s="1" t="s">
        <v>154</v>
      </c>
      <c r="G18" s="1" t="s">
        <v>155</v>
      </c>
      <c r="H18" s="1" t="n">
        <v>1</v>
      </c>
      <c r="I18" s="28" t="n">
        <v>251.61</v>
      </c>
      <c r="J18" s="9" t="n">
        <f aca="false">PRODUCT(H18*I18)</f>
        <v>251.61</v>
      </c>
      <c r="R18" s="1" t="s">
        <v>300</v>
      </c>
      <c r="V18" s="55" t="s">
        <v>150</v>
      </c>
      <c r="W18" s="56"/>
      <c r="X18" s="57" t="n">
        <v>0.2</v>
      </c>
      <c r="Y18" s="1" t="n">
        <v>55</v>
      </c>
      <c r="Z18" s="28" t="n">
        <f aca="false">X18*Y18</f>
        <v>11</v>
      </c>
    </row>
    <row r="19" customFormat="false" ht="15" hidden="false" customHeight="false" outlineLevel="0" collapsed="false">
      <c r="A19" s="1" t="s">
        <v>157</v>
      </c>
      <c r="G19" s="1" t="s">
        <v>158</v>
      </c>
      <c r="H19" s="1" t="n">
        <f aca="false">N4</f>
        <v>12</v>
      </c>
      <c r="I19" s="28" t="n">
        <v>185.89</v>
      </c>
      <c r="J19" s="9" t="n">
        <f aca="false">PRODUCT(H19*I19)</f>
        <v>2230.68</v>
      </c>
      <c r="L19" s="14"/>
      <c r="R19" s="1" t="s">
        <v>301</v>
      </c>
      <c r="V19" s="55" t="s">
        <v>297</v>
      </c>
      <c r="X19" s="57" t="n">
        <v>0.06</v>
      </c>
      <c r="Y19" s="1" t="n">
        <v>10.93</v>
      </c>
      <c r="Z19" s="28" t="n">
        <f aca="false">X19*Y19</f>
        <v>0.6558</v>
      </c>
    </row>
    <row r="20" customFormat="false" ht="15" hidden="false" customHeight="false" outlineLevel="0" collapsed="false">
      <c r="A20" s="1" t="s">
        <v>160</v>
      </c>
      <c r="G20" s="1" t="s">
        <v>155</v>
      </c>
      <c r="H20" s="1" t="n">
        <v>1</v>
      </c>
      <c r="I20" s="28" t="n">
        <v>976.39</v>
      </c>
      <c r="J20" s="9" t="n">
        <f aca="false">PRODUCT(H20*I20)</f>
        <v>976.39</v>
      </c>
      <c r="L20" s="14"/>
      <c r="R20" s="1" t="s">
        <v>302</v>
      </c>
      <c r="V20" s="55" t="s">
        <v>297</v>
      </c>
      <c r="X20" s="57" t="n">
        <v>0.071</v>
      </c>
      <c r="Y20" s="28" t="n">
        <v>5.51</v>
      </c>
      <c r="Z20" s="28" t="n">
        <f aca="false">X20*Y20</f>
        <v>0.39121</v>
      </c>
    </row>
    <row r="21" customFormat="false" ht="15" hidden="false" customHeight="false" outlineLevel="0" collapsed="false">
      <c r="A21" s="1" t="s">
        <v>162</v>
      </c>
      <c r="G21" s="1" t="s">
        <v>158</v>
      </c>
      <c r="H21" s="1" t="n">
        <f aca="false">N4</f>
        <v>12</v>
      </c>
      <c r="I21" s="28" t="n">
        <v>185.89</v>
      </c>
      <c r="J21" s="9" t="n">
        <f aca="false">PRODUCT(H21*I21)</f>
        <v>2230.68</v>
      </c>
      <c r="L21" s="14"/>
      <c r="R21" s="1" t="s">
        <v>303</v>
      </c>
      <c r="V21" s="55" t="s">
        <v>204</v>
      </c>
      <c r="X21" s="57" t="n">
        <v>0.19</v>
      </c>
      <c r="Y21" s="28" t="n">
        <v>70.92</v>
      </c>
      <c r="Z21" s="28" t="n">
        <f aca="false">X21*Y21</f>
        <v>13.4748</v>
      </c>
    </row>
    <row r="22" customFormat="false" ht="15" hidden="false" customHeight="false" outlineLevel="0" collapsed="false">
      <c r="I22" s="28"/>
      <c r="J22" s="9"/>
      <c r="L22" s="14"/>
      <c r="R22" s="1" t="s">
        <v>304</v>
      </c>
      <c r="V22" s="55" t="s">
        <v>299</v>
      </c>
      <c r="X22" s="57" t="n">
        <v>0.53</v>
      </c>
      <c r="Y22" s="1" t="n">
        <v>27.88</v>
      </c>
      <c r="Z22" s="28" t="n">
        <f aca="false">X22*Y22</f>
        <v>14.7764</v>
      </c>
    </row>
    <row r="23" customFormat="false" ht="15" hidden="false" customHeight="false" outlineLevel="0" collapsed="false">
      <c r="I23" s="28"/>
      <c r="J23" s="9"/>
      <c r="L23" s="14"/>
      <c r="R23" s="1" t="s">
        <v>305</v>
      </c>
      <c r="V23" s="55" t="s">
        <v>306</v>
      </c>
      <c r="X23" s="57" t="n">
        <v>0.2374</v>
      </c>
      <c r="Y23" s="1" t="n">
        <v>32.2</v>
      </c>
      <c r="Z23" s="28" t="n">
        <f aca="false">X23*Y23</f>
        <v>7.64428</v>
      </c>
    </row>
    <row r="24" customFormat="false" ht="15" hidden="false" customHeight="false" outlineLevel="0" collapsed="false">
      <c r="H24" s="14"/>
      <c r="I24" s="28"/>
      <c r="J24" s="9"/>
      <c r="L24" s="14"/>
      <c r="R24" s="1" t="s">
        <v>307</v>
      </c>
      <c r="V24" s="55" t="s">
        <v>308</v>
      </c>
      <c r="X24" s="57" t="n">
        <v>1.092</v>
      </c>
      <c r="Y24" s="28" t="n">
        <v>24.52</v>
      </c>
      <c r="Z24" s="28" t="n">
        <f aca="false">X24*Y24</f>
        <v>26.77584</v>
      </c>
    </row>
    <row r="25" customFormat="false" ht="15" hidden="false" customHeight="false" outlineLevel="0" collapsed="false">
      <c r="A25" s="39" t="s">
        <v>163</v>
      </c>
      <c r="G25" s="39"/>
      <c r="H25" s="39"/>
      <c r="I25" s="39"/>
      <c r="J25" s="159"/>
      <c r="R25" s="1" t="s">
        <v>309</v>
      </c>
      <c r="V25" s="55" t="s">
        <v>306</v>
      </c>
      <c r="X25" s="57" t="n">
        <v>3</v>
      </c>
      <c r="Y25" s="28" t="n">
        <v>5.8</v>
      </c>
      <c r="Z25" s="28" t="n">
        <f aca="false">X25*Y25</f>
        <v>17.4</v>
      </c>
    </row>
    <row r="26" customFormat="false" ht="15" hidden="false" customHeight="false" outlineLevel="0" collapsed="false">
      <c r="A26" s="42" t="s">
        <v>165</v>
      </c>
      <c r="G26" s="42"/>
      <c r="H26" s="42"/>
      <c r="I26" s="42"/>
      <c r="J26" s="160"/>
      <c r="V26" s="55"/>
      <c r="X26" s="57"/>
      <c r="Y26" s="28"/>
      <c r="Z26" s="53" t="n">
        <f aca="false">SUM(Z16:Z25)</f>
        <v>120.88833</v>
      </c>
    </row>
    <row r="27" customFormat="false" ht="15" hidden="false" customHeight="false" outlineLevel="0" collapsed="false">
      <c r="A27" s="1" t="s">
        <v>1226</v>
      </c>
      <c r="G27" s="1" t="s">
        <v>1225</v>
      </c>
      <c r="H27" s="9" t="n">
        <f aca="false">N2</f>
        <v>2248.76</v>
      </c>
      <c r="I27" s="28" t="n">
        <f aca="false">Z255</f>
        <v>1.14856</v>
      </c>
      <c r="J27" s="9" t="n">
        <f aca="false">H27*I27</f>
        <v>2582.8357856</v>
      </c>
      <c r="R27" s="54" t="s">
        <v>310</v>
      </c>
    </row>
    <row r="28" customFormat="false" ht="15" hidden="false" customHeight="false" outlineLevel="0" collapsed="false">
      <c r="A28" s="1" t="s">
        <v>169</v>
      </c>
      <c r="G28" s="1" t="s">
        <v>1225</v>
      </c>
      <c r="H28" s="9" t="n">
        <f aca="false">N2</f>
        <v>2248.76</v>
      </c>
      <c r="I28" s="28" t="n">
        <f aca="false">Z265</f>
        <v>1.35947555555556</v>
      </c>
      <c r="J28" s="9" t="n">
        <f aca="false">H28*I28</f>
        <v>3057.13425031111</v>
      </c>
      <c r="R28" s="1" t="s">
        <v>311</v>
      </c>
      <c r="V28" s="55" t="s">
        <v>312</v>
      </c>
      <c r="X28" s="57" t="n">
        <v>5</v>
      </c>
      <c r="Y28" s="28" t="n">
        <f aca="false">Z14</f>
        <v>36.2016</v>
      </c>
      <c r="Z28" s="28" t="n">
        <f aca="false">X28%*Y28</f>
        <v>1.81008</v>
      </c>
    </row>
    <row r="29" customFormat="false" ht="15" hidden="false" customHeight="false" outlineLevel="0" collapsed="false">
      <c r="A29" s="42" t="s">
        <v>171</v>
      </c>
      <c r="G29" s="42"/>
      <c r="H29" s="42"/>
      <c r="I29" s="42"/>
      <c r="J29" s="160"/>
      <c r="L29" s="14"/>
      <c r="Z29" s="53" t="n">
        <f aca="false">SUM(Z28)</f>
        <v>1.81008</v>
      </c>
    </row>
    <row r="30" customFormat="false" ht="15" hidden="false" customHeight="false" outlineLevel="0" collapsed="false">
      <c r="A30" s="1" t="s">
        <v>173</v>
      </c>
      <c r="G30" s="1" t="s">
        <v>155</v>
      </c>
      <c r="H30" s="1" t="n">
        <v>1</v>
      </c>
      <c r="I30" s="46" t="n">
        <f aca="false">0.05%*'Datos iniciales '!F91</f>
        <v>4220.99994939201</v>
      </c>
      <c r="J30" s="9" t="n">
        <f aca="false">H30*I30</f>
        <v>4220.99994939201</v>
      </c>
      <c r="L30" s="120"/>
      <c r="Q30" s="58"/>
      <c r="R30" s="58"/>
      <c r="S30" s="58"/>
      <c r="T30" s="58"/>
      <c r="U30" s="58"/>
      <c r="V30" s="58"/>
      <c r="W30" s="58"/>
      <c r="X30" s="59"/>
      <c r="Y30" s="59"/>
      <c r="Z30" s="58"/>
    </row>
    <row r="31" customFormat="false" ht="15" hidden="false" customHeight="false" outlineLevel="0" collapsed="false">
      <c r="A31" s="1" t="s">
        <v>175</v>
      </c>
      <c r="G31" s="1" t="s">
        <v>155</v>
      </c>
      <c r="H31" s="1" t="n">
        <v>1</v>
      </c>
      <c r="I31" s="46" t="n">
        <f aca="false">0.2%*'Datos iniciales '!F91</f>
        <v>16883.999797568</v>
      </c>
      <c r="J31" s="9" t="n">
        <f aca="false">H31*I31</f>
        <v>16883.999797568</v>
      </c>
      <c r="Q31" s="14" t="s">
        <v>278</v>
      </c>
      <c r="R31" s="14"/>
      <c r="S31" s="14" t="s">
        <v>136</v>
      </c>
      <c r="T31" s="14"/>
      <c r="U31" s="14"/>
      <c r="V31" s="14"/>
      <c r="W31" s="14"/>
      <c r="X31" s="14"/>
      <c r="Y31" s="14"/>
    </row>
    <row r="32" customFormat="false" ht="15" hidden="false" customHeight="false" outlineLevel="0" collapsed="false">
      <c r="A32" s="42" t="s">
        <v>177</v>
      </c>
      <c r="G32" s="42"/>
      <c r="H32" s="42"/>
      <c r="I32" s="42"/>
      <c r="J32" s="160"/>
      <c r="Q32" s="14" t="s">
        <v>279</v>
      </c>
      <c r="R32" s="14" t="s">
        <v>280</v>
      </c>
      <c r="S32" s="36" t="s">
        <v>281</v>
      </c>
      <c r="T32" s="52" t="n">
        <v>40</v>
      </c>
      <c r="U32" s="36" t="s">
        <v>282</v>
      </c>
      <c r="V32" s="52" t="n">
        <f aca="false">T32</f>
        <v>40</v>
      </c>
      <c r="W32" s="14" t="s">
        <v>283</v>
      </c>
      <c r="Y32" s="36" t="s">
        <v>150</v>
      </c>
      <c r="Z32" s="53" t="n">
        <f aca="false">Z38+Z50+Z53</f>
        <v>144.64563</v>
      </c>
    </row>
    <row r="33" customFormat="false" ht="15" hidden="false" customHeight="false" outlineLevel="0" collapsed="false">
      <c r="A33" s="1" t="s">
        <v>179</v>
      </c>
      <c r="G33" s="1" t="s">
        <v>1225</v>
      </c>
      <c r="H33" s="9" t="n">
        <f aca="false">N2</f>
        <v>2248.76</v>
      </c>
      <c r="I33" s="28" t="n">
        <f aca="false">Z290</f>
        <v>3.97626</v>
      </c>
      <c r="J33" s="9" t="n">
        <f aca="false">H33*I33</f>
        <v>8941.6544376</v>
      </c>
      <c r="K33" s="9"/>
      <c r="L33" s="14"/>
      <c r="Q33" s="14" t="s">
        <v>284</v>
      </c>
      <c r="R33" s="14" t="s">
        <v>285</v>
      </c>
      <c r="V33" s="36" t="s">
        <v>123</v>
      </c>
      <c r="W33" s="36" t="s">
        <v>286</v>
      </c>
      <c r="X33" s="36" t="s">
        <v>287</v>
      </c>
      <c r="Y33" s="36" t="s">
        <v>288</v>
      </c>
      <c r="Z33" s="36" t="s">
        <v>289</v>
      </c>
    </row>
    <row r="34" customFormat="false" ht="15" hidden="false" customHeight="false" outlineLevel="0" collapsed="false">
      <c r="A34" s="1" t="s">
        <v>1227</v>
      </c>
      <c r="G34" s="1" t="s">
        <v>1225</v>
      </c>
      <c r="H34" s="9" t="n">
        <f aca="false">N2</f>
        <v>2248.76</v>
      </c>
      <c r="I34" s="28" t="n">
        <f aca="false">Z310</f>
        <v>4.26553</v>
      </c>
      <c r="J34" s="9" t="n">
        <f aca="false">H34*I34</f>
        <v>9592.1532428</v>
      </c>
      <c r="L34" s="14"/>
      <c r="R34" s="54" t="s">
        <v>290</v>
      </c>
    </row>
    <row r="35" customFormat="false" ht="15" hidden="false" customHeight="false" outlineLevel="0" collapsed="false">
      <c r="A35" s="39" t="s">
        <v>182</v>
      </c>
      <c r="G35" s="39"/>
      <c r="H35" s="39"/>
      <c r="I35" s="39"/>
      <c r="J35" s="161"/>
      <c r="R35" s="1" t="s">
        <v>291</v>
      </c>
      <c r="V35" s="55" t="s">
        <v>292</v>
      </c>
      <c r="W35" s="56" t="n">
        <v>1</v>
      </c>
      <c r="X35" s="57" t="n">
        <f aca="false">W35*8/$T$32</f>
        <v>0.2</v>
      </c>
      <c r="Y35" s="28" t="n">
        <v>28.94</v>
      </c>
      <c r="Z35" s="28" t="n">
        <f aca="false">X35*Y35</f>
        <v>5.788</v>
      </c>
    </row>
    <row r="36" customFormat="false" ht="15" hidden="false" customHeight="false" outlineLevel="0" collapsed="false">
      <c r="A36" s="42" t="s">
        <v>184</v>
      </c>
      <c r="G36" s="42"/>
      <c r="H36" s="42"/>
      <c r="I36" s="42"/>
      <c r="J36" s="162"/>
      <c r="R36" s="1" t="s">
        <v>293</v>
      </c>
      <c r="V36" s="55" t="s">
        <v>292</v>
      </c>
      <c r="W36" s="56" t="n">
        <v>1</v>
      </c>
      <c r="X36" s="57" t="n">
        <f aca="false">W36*8/$T$32</f>
        <v>0.2</v>
      </c>
      <c r="Y36" s="28" t="n">
        <v>22.66</v>
      </c>
      <c r="Z36" s="28" t="n">
        <f aca="false">X36*Y36</f>
        <v>4.532</v>
      </c>
    </row>
    <row r="37" customFormat="false" ht="15" hidden="false" customHeight="false" outlineLevel="0" collapsed="false">
      <c r="A37" s="1" t="s">
        <v>1228</v>
      </c>
      <c r="G37" s="1" t="s">
        <v>155</v>
      </c>
      <c r="H37" s="1" t="n">
        <v>1</v>
      </c>
      <c r="I37" s="28" t="n">
        <f aca="false">Z352</f>
        <v>41043.35</v>
      </c>
      <c r="J37" s="163" t="n">
        <f aca="false">H37*I37</f>
        <v>41043.35</v>
      </c>
      <c r="R37" s="1" t="s">
        <v>294</v>
      </c>
      <c r="V37" s="55" t="s">
        <v>292</v>
      </c>
      <c r="W37" s="56" t="n">
        <v>3</v>
      </c>
      <c r="X37" s="57" t="n">
        <f aca="false">W37*8/$T$32</f>
        <v>0.6</v>
      </c>
      <c r="Y37" s="28" t="n">
        <v>20.51</v>
      </c>
      <c r="Z37" s="28" t="n">
        <f aca="false">X37*Y37</f>
        <v>12.306</v>
      </c>
    </row>
    <row r="38" customFormat="false" ht="15" hidden="false" customHeight="false" outlineLevel="0" collapsed="false">
      <c r="A38" s="1" t="s">
        <v>1229</v>
      </c>
      <c r="G38" s="1" t="s">
        <v>155</v>
      </c>
      <c r="H38" s="1" t="n">
        <v>1</v>
      </c>
      <c r="I38" s="28" t="n">
        <f aca="false">Z355</f>
        <v>3824.87</v>
      </c>
      <c r="J38" s="163" t="n">
        <f aca="false">H38*I38</f>
        <v>3824.87</v>
      </c>
      <c r="Z38" s="53" t="n">
        <f aca="false">SUM(Z35:Z37)</f>
        <v>22.626</v>
      </c>
    </row>
    <row r="39" customFormat="false" ht="15" hidden="false" customHeight="false" outlineLevel="0" collapsed="false">
      <c r="A39" s="1" t="s">
        <v>1230</v>
      </c>
      <c r="G39" s="1" t="s">
        <v>155</v>
      </c>
      <c r="H39" s="1" t="n">
        <v>1</v>
      </c>
      <c r="I39" s="28" t="n">
        <f aca="false">Z378</f>
        <v>6076.5</v>
      </c>
      <c r="J39" s="163" t="n">
        <f aca="false">H39*I39</f>
        <v>6076.5</v>
      </c>
      <c r="R39" s="54" t="s">
        <v>295</v>
      </c>
    </row>
    <row r="40" customFormat="false" ht="15" hidden="false" customHeight="false" outlineLevel="0" collapsed="false">
      <c r="A40" s="1" t="s">
        <v>1231</v>
      </c>
      <c r="G40" s="1" t="s">
        <v>155</v>
      </c>
      <c r="H40" s="1" t="n">
        <v>1</v>
      </c>
      <c r="I40" s="28" t="n">
        <f aca="false">Z387</f>
        <v>18386.64</v>
      </c>
      <c r="J40" s="163" t="n">
        <f aca="false">H40*I40</f>
        <v>18386.64</v>
      </c>
      <c r="R40" s="1" t="s">
        <v>296</v>
      </c>
      <c r="V40" s="55" t="s">
        <v>297</v>
      </c>
      <c r="W40" s="56"/>
      <c r="X40" s="57" t="n">
        <v>1.25</v>
      </c>
      <c r="Y40" s="28" t="n">
        <v>2.64</v>
      </c>
      <c r="Z40" s="28" t="n">
        <f aca="false">X40*Y40</f>
        <v>3.3</v>
      </c>
    </row>
    <row r="41" customFormat="false" ht="15" hidden="false" customHeight="false" outlineLevel="0" collapsed="false">
      <c r="A41" s="1" t="s">
        <v>1232</v>
      </c>
      <c r="G41" s="1" t="s">
        <v>155</v>
      </c>
      <c r="H41" s="1" t="n">
        <v>1</v>
      </c>
      <c r="I41" s="9" t="n">
        <f aca="false">Z390</f>
        <v>1478.8</v>
      </c>
      <c r="J41" s="163" t="n">
        <f aca="false">H41*I41</f>
        <v>1478.8</v>
      </c>
      <c r="L41" s="9"/>
      <c r="R41" s="1" t="s">
        <v>298</v>
      </c>
      <c r="V41" s="55" t="s">
        <v>299</v>
      </c>
      <c r="W41" s="56"/>
      <c r="X41" s="57" t="n">
        <v>1.8</v>
      </c>
      <c r="Y41" s="1" t="n">
        <v>14.15</v>
      </c>
      <c r="Z41" s="28" t="n">
        <f aca="false">X41*Y41</f>
        <v>25.47</v>
      </c>
    </row>
    <row r="42" customFormat="false" ht="15" hidden="false" customHeight="false" outlineLevel="0" collapsed="false">
      <c r="A42" s="1" t="s">
        <v>1233</v>
      </c>
      <c r="G42" s="1" t="s">
        <v>150</v>
      </c>
      <c r="H42" s="1" t="n">
        <v>1</v>
      </c>
      <c r="I42" s="28" t="n">
        <f aca="false">Z402</f>
        <v>8515.8</v>
      </c>
      <c r="J42" s="163" t="n">
        <f aca="false">H42*I42</f>
        <v>8515.8</v>
      </c>
      <c r="R42" s="1" t="s">
        <v>300</v>
      </c>
      <c r="V42" s="55" t="s">
        <v>150</v>
      </c>
      <c r="W42" s="56"/>
      <c r="X42" s="57" t="n">
        <v>0.2</v>
      </c>
      <c r="Y42" s="1" t="n">
        <v>55</v>
      </c>
      <c r="Z42" s="28" t="n">
        <f aca="false">X42*Y42</f>
        <v>11</v>
      </c>
    </row>
    <row r="43" customFormat="false" ht="15" hidden="false" customHeight="false" outlineLevel="0" collapsed="false">
      <c r="A43" s="1" t="s">
        <v>1234</v>
      </c>
      <c r="G43" s="1" t="s">
        <v>150</v>
      </c>
      <c r="H43" s="1" t="n">
        <v>1</v>
      </c>
      <c r="I43" s="28" t="n">
        <f aca="false">Z410</f>
        <v>29152.28</v>
      </c>
      <c r="J43" s="163" t="n">
        <f aca="false">H43*I43</f>
        <v>29152.28</v>
      </c>
      <c r="R43" s="1" t="s">
        <v>301</v>
      </c>
      <c r="V43" s="55" t="s">
        <v>297</v>
      </c>
      <c r="X43" s="57" t="n">
        <v>0.06</v>
      </c>
      <c r="Y43" s="1" t="n">
        <v>10.93</v>
      </c>
      <c r="Z43" s="28" t="n">
        <f aca="false">X43*Y43</f>
        <v>0.6558</v>
      </c>
    </row>
    <row r="44" customFormat="false" ht="15" hidden="false" customHeight="false" outlineLevel="0" collapsed="false">
      <c r="A44" s="39" t="s">
        <v>199</v>
      </c>
      <c r="G44" s="39"/>
      <c r="H44" s="39"/>
      <c r="I44" s="39"/>
      <c r="J44" s="161"/>
      <c r="R44" s="1" t="s">
        <v>302</v>
      </c>
      <c r="V44" s="55" t="s">
        <v>297</v>
      </c>
      <c r="X44" s="57" t="n">
        <v>0.071</v>
      </c>
      <c r="Y44" s="28" t="n">
        <v>5.51</v>
      </c>
      <c r="Z44" s="28" t="n">
        <f aca="false">X44*Y44</f>
        <v>0.39121</v>
      </c>
    </row>
    <row r="45" customFormat="false" ht="15" hidden="false" customHeight="false" outlineLevel="0" collapsed="false">
      <c r="A45" s="42" t="s">
        <v>201</v>
      </c>
      <c r="G45" s="42"/>
      <c r="H45" s="42"/>
      <c r="I45" s="42"/>
      <c r="J45" s="162"/>
      <c r="K45" s="164"/>
      <c r="R45" s="1" t="s">
        <v>303</v>
      </c>
      <c r="V45" s="55" t="s">
        <v>204</v>
      </c>
      <c r="X45" s="57" t="n">
        <v>0.19</v>
      </c>
      <c r="Y45" s="28" t="n">
        <v>70.92</v>
      </c>
      <c r="Z45" s="28" t="n">
        <f aca="false">X45*Y45</f>
        <v>13.4748</v>
      </c>
    </row>
    <row r="46" customFormat="false" ht="15" hidden="false" customHeight="false" outlineLevel="0" collapsed="false">
      <c r="A46" s="1" t="s">
        <v>1235</v>
      </c>
      <c r="G46" s="1" t="s">
        <v>430</v>
      </c>
      <c r="H46" s="1" t="n">
        <v>609.6</v>
      </c>
      <c r="I46" s="9" t="n">
        <f aca="false">Z418</f>
        <v>32.55584</v>
      </c>
      <c r="J46" s="163" t="n">
        <f aca="false">H46*I46</f>
        <v>19846.040064</v>
      </c>
      <c r="R46" s="1" t="s">
        <v>304</v>
      </c>
      <c r="V46" s="55" t="s">
        <v>299</v>
      </c>
      <c r="X46" s="57" t="n">
        <v>0.53</v>
      </c>
      <c r="Y46" s="1" t="n">
        <v>27.88</v>
      </c>
      <c r="Z46" s="28" t="n">
        <f aca="false">X46*Y46</f>
        <v>14.7764</v>
      </c>
    </row>
    <row r="47" customFormat="false" ht="15" hidden="false" customHeight="false" outlineLevel="0" collapsed="false">
      <c r="A47" s="1" t="s">
        <v>1236</v>
      </c>
      <c r="G47" s="1" t="s">
        <v>150</v>
      </c>
      <c r="H47" s="1" t="n">
        <v>16</v>
      </c>
      <c r="I47" s="9" t="n">
        <f aca="false">Z431</f>
        <v>115.47972</v>
      </c>
      <c r="J47" s="163" t="n">
        <f aca="false">H47*I47</f>
        <v>1847.67552</v>
      </c>
      <c r="R47" s="1" t="s">
        <v>305</v>
      </c>
      <c r="V47" s="55" t="s">
        <v>306</v>
      </c>
      <c r="X47" s="57" t="n">
        <v>0.2374</v>
      </c>
      <c r="Y47" s="1" t="n">
        <v>32.2</v>
      </c>
      <c r="Z47" s="28" t="n">
        <f aca="false">X47*Y47</f>
        <v>7.64428</v>
      </c>
    </row>
    <row r="48" customFormat="false" ht="15" hidden="false" customHeight="false" outlineLevel="0" collapsed="false">
      <c r="A48" s="42" t="s">
        <v>208</v>
      </c>
      <c r="G48" s="42"/>
      <c r="H48" s="42"/>
      <c r="I48" s="42"/>
      <c r="J48" s="162"/>
      <c r="R48" s="1" t="s">
        <v>307</v>
      </c>
      <c r="V48" s="55" t="s">
        <v>308</v>
      </c>
      <c r="X48" s="57" t="n">
        <v>1.092</v>
      </c>
      <c r="Y48" s="28" t="n">
        <v>24.52</v>
      </c>
      <c r="Z48" s="28" t="n">
        <f aca="false">X48*Y48</f>
        <v>26.77584</v>
      </c>
    </row>
    <row r="49" customFormat="false" ht="15" hidden="false" customHeight="false" outlineLevel="0" collapsed="false">
      <c r="A49" s="1" t="s">
        <v>1237</v>
      </c>
      <c r="G49" s="1" t="s">
        <v>155</v>
      </c>
      <c r="H49" s="1" t="n">
        <v>12</v>
      </c>
      <c r="I49" s="9" t="n">
        <f aca="false">Z454</f>
        <v>135.964</v>
      </c>
      <c r="J49" s="163" t="n">
        <f aca="false">H49*I49</f>
        <v>1631.568</v>
      </c>
      <c r="R49" s="1" t="s">
        <v>309</v>
      </c>
      <c r="V49" s="55" t="s">
        <v>306</v>
      </c>
      <c r="X49" s="57" t="n">
        <v>3</v>
      </c>
      <c r="Y49" s="28" t="n">
        <v>5.8</v>
      </c>
      <c r="Z49" s="28" t="n">
        <f aca="false">X49*Y49</f>
        <v>17.4</v>
      </c>
    </row>
    <row r="50" customFormat="false" ht="15" hidden="false" customHeight="false" outlineLevel="0" collapsed="false">
      <c r="A50" s="42" t="s">
        <v>212</v>
      </c>
      <c r="G50" s="42"/>
      <c r="H50" s="42"/>
      <c r="I50" s="42"/>
      <c r="J50" s="162"/>
      <c r="V50" s="55"/>
      <c r="X50" s="57"/>
      <c r="Y50" s="28"/>
      <c r="Z50" s="53" t="n">
        <f aca="false">SUM(Z40:Z49)</f>
        <v>120.88833</v>
      </c>
    </row>
    <row r="51" customFormat="false" ht="15" hidden="false" customHeight="false" outlineLevel="0" collapsed="false">
      <c r="A51" s="1" t="s">
        <v>1238</v>
      </c>
      <c r="G51" s="1" t="s">
        <v>215</v>
      </c>
      <c r="H51" s="1" t="n">
        <v>6</v>
      </c>
      <c r="I51" s="9" t="n">
        <f aca="false">Z457</f>
        <v>1915.25</v>
      </c>
      <c r="J51" s="163" t="n">
        <f aca="false">H51*I51</f>
        <v>11491.5</v>
      </c>
      <c r="L51" s="9"/>
      <c r="R51" s="54" t="s">
        <v>310</v>
      </c>
    </row>
    <row r="52" customFormat="false" ht="15" hidden="false" customHeight="false" outlineLevel="0" collapsed="false">
      <c r="A52" s="42" t="s">
        <v>217</v>
      </c>
      <c r="G52" s="42"/>
      <c r="H52" s="42"/>
      <c r="I52" s="42"/>
      <c r="J52" s="162"/>
      <c r="R52" s="1" t="s">
        <v>311</v>
      </c>
      <c r="V52" s="55" t="s">
        <v>312</v>
      </c>
      <c r="X52" s="57" t="n">
        <v>5</v>
      </c>
      <c r="Y52" s="28" t="n">
        <f aca="false">Z38</f>
        <v>22.626</v>
      </c>
      <c r="Z52" s="28" t="n">
        <f aca="false">X52%*Y52</f>
        <v>1.1313</v>
      </c>
    </row>
    <row r="53" customFormat="false" ht="15" hidden="false" customHeight="false" outlineLevel="0" collapsed="false">
      <c r="A53" s="165" t="s">
        <v>219</v>
      </c>
      <c r="G53" s="165"/>
      <c r="H53" s="165"/>
      <c r="I53" s="165"/>
      <c r="J53" s="166"/>
      <c r="Q53" s="60"/>
      <c r="R53" s="60"/>
      <c r="S53" s="60"/>
      <c r="T53" s="60"/>
      <c r="U53" s="60"/>
      <c r="V53" s="60"/>
      <c r="W53" s="60"/>
      <c r="X53" s="60"/>
      <c r="Y53" s="60"/>
      <c r="Z53" s="61" t="n">
        <f aca="false">SUM(Z52)</f>
        <v>1.1313</v>
      </c>
    </row>
    <row r="54" customFormat="false" ht="15" hidden="false" customHeight="false" outlineLevel="0" collapsed="false">
      <c r="A54" s="1" t="s">
        <v>1239</v>
      </c>
      <c r="G54" s="1" t="s">
        <v>150</v>
      </c>
      <c r="H54" s="1" t="n">
        <v>3</v>
      </c>
      <c r="I54" s="9" t="n">
        <f aca="false">Z464</f>
        <v>167.0412</v>
      </c>
      <c r="J54" s="163" t="n">
        <f aca="false">H54*I54</f>
        <v>501.1236</v>
      </c>
    </row>
    <row r="55" customFormat="false" ht="15" hidden="false" customHeight="false" outlineLevel="0" collapsed="false">
      <c r="A55" s="1" t="s">
        <v>1240</v>
      </c>
      <c r="G55" s="1" t="s">
        <v>430</v>
      </c>
      <c r="H55" s="1" t="n">
        <f aca="false">0.75*$N$4</f>
        <v>9</v>
      </c>
      <c r="I55" s="9" t="n">
        <f aca="false">Z477</f>
        <v>163.192133333333</v>
      </c>
      <c r="J55" s="163" t="n">
        <f aca="false">H55*I55</f>
        <v>1468.7292</v>
      </c>
      <c r="Q55" s="14" t="s">
        <v>278</v>
      </c>
      <c r="R55" s="14"/>
      <c r="S55" s="14" t="s">
        <v>138</v>
      </c>
      <c r="T55" s="14"/>
      <c r="U55" s="14"/>
      <c r="V55" s="14"/>
      <c r="W55" s="14"/>
      <c r="X55" s="14"/>
      <c r="Y55" s="14"/>
    </row>
    <row r="56" customFormat="false" ht="15" hidden="false" customHeight="false" outlineLevel="0" collapsed="false">
      <c r="A56" s="1" t="s">
        <v>1241</v>
      </c>
      <c r="G56" s="1" t="s">
        <v>430</v>
      </c>
      <c r="H56" s="1" t="n">
        <f aca="false">0.75*$N$4</f>
        <v>9</v>
      </c>
      <c r="I56" s="9" t="n">
        <f aca="false">Z495</f>
        <v>406.78</v>
      </c>
      <c r="J56" s="163" t="n">
        <f aca="false">H56*I56</f>
        <v>3661.02</v>
      </c>
      <c r="Q56" s="14" t="s">
        <v>279</v>
      </c>
      <c r="R56" s="14" t="s">
        <v>280</v>
      </c>
      <c r="S56" s="36" t="s">
        <v>281</v>
      </c>
      <c r="T56" s="52" t="n">
        <v>35</v>
      </c>
      <c r="U56" s="36" t="s">
        <v>282</v>
      </c>
      <c r="V56" s="52" t="n">
        <f aca="false">T56</f>
        <v>35</v>
      </c>
      <c r="W56" s="14" t="s">
        <v>283</v>
      </c>
      <c r="Y56" s="36" t="s">
        <v>150</v>
      </c>
      <c r="Z56" s="53" t="n">
        <f aca="false">Z62+Z74+Z77</f>
        <v>148.03953</v>
      </c>
    </row>
    <row r="57" customFormat="false" ht="15" hidden="false" customHeight="false" outlineLevel="0" collapsed="false">
      <c r="A57" s="165" t="s">
        <v>227</v>
      </c>
      <c r="G57" s="165"/>
      <c r="H57" s="165"/>
      <c r="I57" s="165"/>
      <c r="J57" s="166"/>
      <c r="Q57" s="14" t="s">
        <v>284</v>
      </c>
      <c r="R57" s="14" t="s">
        <v>285</v>
      </c>
      <c r="V57" s="36" t="s">
        <v>123</v>
      </c>
      <c r="W57" s="36" t="s">
        <v>286</v>
      </c>
      <c r="X57" s="36" t="s">
        <v>287</v>
      </c>
      <c r="Y57" s="36" t="s">
        <v>288</v>
      </c>
      <c r="Z57" s="36" t="s">
        <v>289</v>
      </c>
    </row>
    <row r="58" customFormat="false" ht="15" hidden="false" customHeight="false" outlineLevel="0" collapsed="false">
      <c r="A58" s="1" t="s">
        <v>1242</v>
      </c>
      <c r="G58" s="1" t="s">
        <v>1225</v>
      </c>
      <c r="H58" s="1" t="n">
        <f aca="false">0.001*N2</f>
        <v>2.24876</v>
      </c>
      <c r="I58" s="9" t="n">
        <f aca="false">Z506</f>
        <v>80.19009</v>
      </c>
      <c r="J58" s="163" t="n">
        <f aca="false">H58*I58</f>
        <v>180.3282667884</v>
      </c>
      <c r="R58" s="54" t="s">
        <v>290</v>
      </c>
    </row>
    <row r="59" customFormat="false" ht="15" hidden="false" customHeight="false" outlineLevel="0" collapsed="false">
      <c r="A59" s="1" t="s">
        <v>1239</v>
      </c>
      <c r="G59" s="1" t="s">
        <v>150</v>
      </c>
      <c r="H59" s="1" t="n">
        <v>15</v>
      </c>
      <c r="I59" s="9" t="n">
        <f aca="false">Z526</f>
        <v>148.272048780488</v>
      </c>
      <c r="J59" s="163" t="n">
        <f aca="false">H59*I59</f>
        <v>2224.08073170732</v>
      </c>
      <c r="R59" s="1" t="s">
        <v>291</v>
      </c>
      <c r="V59" s="55" t="s">
        <v>292</v>
      </c>
      <c r="W59" s="56" t="n">
        <v>1</v>
      </c>
      <c r="X59" s="57" t="n">
        <f aca="false">W59*8/$T$56</f>
        <v>0.228571428571429</v>
      </c>
      <c r="Y59" s="28" t="n">
        <v>28.94</v>
      </c>
      <c r="Z59" s="28" t="n">
        <f aca="false">X59*Y59</f>
        <v>6.61485714285714</v>
      </c>
    </row>
    <row r="60" customFormat="false" ht="15" hidden="false" customHeight="false" outlineLevel="0" collapsed="false">
      <c r="A60" s="1" t="s">
        <v>1243</v>
      </c>
      <c r="G60" s="1" t="s">
        <v>430</v>
      </c>
      <c r="H60" s="1" t="n">
        <f aca="false">2*$N$4</f>
        <v>24</v>
      </c>
      <c r="I60" s="9" t="n">
        <f aca="false">Z539</f>
        <v>43.2081333333333</v>
      </c>
      <c r="J60" s="163" t="n">
        <f aca="false">H60*I60</f>
        <v>1036.9952</v>
      </c>
      <c r="R60" s="1" t="s">
        <v>293</v>
      </c>
      <c r="V60" s="55" t="s">
        <v>292</v>
      </c>
      <c r="W60" s="56" t="n">
        <v>1</v>
      </c>
      <c r="X60" s="57" t="n">
        <f aca="false">W60*8/$T$56</f>
        <v>0.228571428571429</v>
      </c>
      <c r="Y60" s="28" t="n">
        <v>22.66</v>
      </c>
      <c r="Z60" s="28" t="n">
        <f aca="false">X60*Y60</f>
        <v>5.17942857142857</v>
      </c>
    </row>
    <row r="61" customFormat="false" ht="15" hidden="false" customHeight="false" outlineLevel="0" collapsed="false">
      <c r="A61" s="1" t="s">
        <v>1244</v>
      </c>
      <c r="G61" s="1" t="s">
        <v>430</v>
      </c>
      <c r="H61" s="1" t="n">
        <f aca="false">3*$N$4</f>
        <v>36</v>
      </c>
      <c r="I61" s="9" t="n">
        <f aca="false">Z557</f>
        <v>13.786064</v>
      </c>
      <c r="J61" s="163" t="n">
        <f aca="false">H61*I61</f>
        <v>496.298304</v>
      </c>
      <c r="R61" s="1" t="s">
        <v>294</v>
      </c>
      <c r="V61" s="55" t="s">
        <v>292</v>
      </c>
      <c r="W61" s="56" t="n">
        <v>3</v>
      </c>
      <c r="X61" s="57" t="n">
        <f aca="false">W61*8/$T$56</f>
        <v>0.685714285714286</v>
      </c>
      <c r="Y61" s="28" t="n">
        <v>20.51</v>
      </c>
      <c r="Z61" s="28" t="n">
        <f aca="false">X61*Y61</f>
        <v>14.064</v>
      </c>
    </row>
    <row r="62" customFormat="false" ht="15" hidden="false" customHeight="false" outlineLevel="0" collapsed="false">
      <c r="A62" s="165" t="s">
        <v>237</v>
      </c>
      <c r="G62" s="165"/>
      <c r="H62" s="165"/>
      <c r="I62" s="165"/>
      <c r="J62" s="166"/>
      <c r="Z62" s="53" t="n">
        <f aca="false">SUM(Z59:Z61)</f>
        <v>25.8582857142857</v>
      </c>
    </row>
    <row r="63" customFormat="false" ht="15" hidden="false" customHeight="false" outlineLevel="0" collapsed="false">
      <c r="A63" s="1" t="s">
        <v>1245</v>
      </c>
      <c r="G63" s="1" t="s">
        <v>158</v>
      </c>
      <c r="H63" s="1" t="n">
        <f aca="false">N4</f>
        <v>12</v>
      </c>
      <c r="I63" s="28" t="n">
        <f aca="false">Z572</f>
        <v>68.271</v>
      </c>
      <c r="J63" s="163" t="n">
        <f aca="false">H63*I63</f>
        <v>819.252</v>
      </c>
      <c r="R63" s="54" t="s">
        <v>295</v>
      </c>
    </row>
    <row r="64" customFormat="false" ht="15" hidden="false" customHeight="false" outlineLevel="0" collapsed="false">
      <c r="A64" s="1" t="s">
        <v>1244</v>
      </c>
      <c r="G64" s="1" t="s">
        <v>430</v>
      </c>
      <c r="H64" s="1" t="n">
        <f aca="false">0.8*$N$4</f>
        <v>9.6</v>
      </c>
      <c r="I64" s="28" t="n">
        <f aca="false">Z586</f>
        <v>13.786064</v>
      </c>
      <c r="J64" s="163" t="n">
        <f aca="false">H64*I64</f>
        <v>132.3462144</v>
      </c>
      <c r="R64" s="1" t="s">
        <v>296</v>
      </c>
      <c r="V64" s="55" t="s">
        <v>297</v>
      </c>
      <c r="W64" s="56"/>
      <c r="X64" s="57" t="n">
        <v>1.25</v>
      </c>
      <c r="Y64" s="28" t="n">
        <v>2.64</v>
      </c>
      <c r="Z64" s="28" t="n">
        <f aca="false">X64*Y64</f>
        <v>3.3</v>
      </c>
    </row>
    <row r="65" customFormat="false" ht="15" hidden="false" customHeight="false" outlineLevel="0" collapsed="false">
      <c r="A65" s="42" t="s">
        <v>243</v>
      </c>
      <c r="G65" s="42"/>
      <c r="H65" s="42"/>
      <c r="I65" s="42"/>
      <c r="J65" s="162"/>
      <c r="R65" s="1" t="s">
        <v>298</v>
      </c>
      <c r="V65" s="55" t="s">
        <v>299</v>
      </c>
      <c r="W65" s="56"/>
      <c r="X65" s="57" t="n">
        <v>1.8</v>
      </c>
      <c r="Y65" s="1" t="n">
        <v>14.15</v>
      </c>
      <c r="Z65" s="28" t="n">
        <f aca="false">X65*Y65</f>
        <v>25.47</v>
      </c>
    </row>
    <row r="66" customFormat="false" ht="15" hidden="false" customHeight="false" outlineLevel="0" collapsed="false">
      <c r="A66" s="1" t="s">
        <v>1246</v>
      </c>
      <c r="G66" s="1" t="s">
        <v>150</v>
      </c>
      <c r="H66" s="1" t="n">
        <v>1</v>
      </c>
      <c r="I66" s="28" t="n">
        <f aca="false">Z601</f>
        <v>402.0068</v>
      </c>
      <c r="J66" s="163" t="n">
        <f aca="false">H66*I66</f>
        <v>402.0068</v>
      </c>
      <c r="R66" s="1" t="s">
        <v>300</v>
      </c>
      <c r="V66" s="55" t="s">
        <v>150</v>
      </c>
      <c r="W66" s="56"/>
      <c r="X66" s="57" t="n">
        <v>0.2</v>
      </c>
      <c r="Y66" s="1" t="n">
        <v>55</v>
      </c>
      <c r="Z66" s="28" t="n">
        <f aca="false">X66*Y66</f>
        <v>11</v>
      </c>
    </row>
    <row r="67" customFormat="false" ht="15" hidden="false" customHeight="false" outlineLevel="0" collapsed="false">
      <c r="A67" s="42" t="s">
        <v>247</v>
      </c>
      <c r="G67" s="42"/>
      <c r="H67" s="42"/>
      <c r="I67" s="42"/>
      <c r="J67" s="163"/>
      <c r="R67" s="1" t="s">
        <v>301</v>
      </c>
      <c r="V67" s="55" t="s">
        <v>297</v>
      </c>
      <c r="X67" s="57" t="n">
        <v>0.06</v>
      </c>
      <c r="Y67" s="1" t="n">
        <v>10.93</v>
      </c>
      <c r="Z67" s="28" t="n">
        <f aca="false">X67*Y67</f>
        <v>0.6558</v>
      </c>
    </row>
    <row r="68" customFormat="false" ht="15" hidden="false" customHeight="false" outlineLevel="0" collapsed="false">
      <c r="A68" s="1" t="s">
        <v>1247</v>
      </c>
      <c r="G68" s="1" t="s">
        <v>1225</v>
      </c>
      <c r="H68" s="28" t="n">
        <f aca="false">0.02*$N$2</f>
        <v>44.9752</v>
      </c>
      <c r="I68" s="28" t="n">
        <f aca="false">Z617</f>
        <v>6.94930666666667</v>
      </c>
      <c r="J68" s="163" t="n">
        <f aca="false">H68*I68</f>
        <v>312.546457194667</v>
      </c>
      <c r="R68" s="1" t="s">
        <v>302</v>
      </c>
      <c r="V68" s="55" t="s">
        <v>297</v>
      </c>
      <c r="X68" s="57" t="n">
        <v>0.071</v>
      </c>
      <c r="Y68" s="28" t="n">
        <v>5.51</v>
      </c>
      <c r="Z68" s="28" t="n">
        <f aca="false">X68*Y68</f>
        <v>0.39121</v>
      </c>
    </row>
    <row r="69" customFormat="false" ht="15" hidden="false" customHeight="false" outlineLevel="0" collapsed="false">
      <c r="A69" s="1" t="s">
        <v>1248</v>
      </c>
      <c r="G69" s="1" t="s">
        <v>430</v>
      </c>
      <c r="H69" s="28" t="n">
        <f aca="false">0.0015*$N$2</f>
        <v>3.37314</v>
      </c>
      <c r="I69" s="28" t="n">
        <f aca="false">Z629</f>
        <v>24.086838</v>
      </c>
      <c r="J69" s="163" t="n">
        <f aca="false">H69*I69</f>
        <v>81.24827673132</v>
      </c>
      <c r="R69" s="1" t="s">
        <v>303</v>
      </c>
      <c r="V69" s="55" t="s">
        <v>204</v>
      </c>
      <c r="X69" s="57" t="n">
        <v>0.19</v>
      </c>
      <c r="Y69" s="28" t="n">
        <v>70.92</v>
      </c>
      <c r="Z69" s="28" t="n">
        <f aca="false">X69*Y69</f>
        <v>13.4748</v>
      </c>
    </row>
    <row r="70" customFormat="false" ht="15" hidden="false" customHeight="false" outlineLevel="0" collapsed="false">
      <c r="A70" s="1" t="s">
        <v>1249</v>
      </c>
      <c r="G70" s="1" t="s">
        <v>1225</v>
      </c>
      <c r="H70" s="28" t="n">
        <f aca="false">0.003*$N$2</f>
        <v>6.74628</v>
      </c>
      <c r="I70" s="28" t="n">
        <f aca="false">Z645</f>
        <v>7.69136</v>
      </c>
      <c r="J70" s="163" t="n">
        <f aca="false">H70*I70</f>
        <v>51.8880681408</v>
      </c>
      <c r="R70" s="1" t="s">
        <v>304</v>
      </c>
      <c r="V70" s="55" t="s">
        <v>299</v>
      </c>
      <c r="X70" s="57" t="n">
        <v>0.53</v>
      </c>
      <c r="Y70" s="1" t="n">
        <v>27.88</v>
      </c>
      <c r="Z70" s="28" t="n">
        <f aca="false">X70*Y70</f>
        <v>14.7764</v>
      </c>
    </row>
    <row r="71" customFormat="false" ht="15" hidden="false" customHeight="false" outlineLevel="0" collapsed="false">
      <c r="A71" s="1" t="s">
        <v>1250</v>
      </c>
      <c r="G71" s="1" t="s">
        <v>1225</v>
      </c>
      <c r="H71" s="28" t="n">
        <f aca="false">0.004*$N$2</f>
        <v>8.99504</v>
      </c>
      <c r="I71" s="28" t="n">
        <f aca="false">Z659</f>
        <v>8.03264</v>
      </c>
      <c r="J71" s="163" t="n">
        <f aca="false">H71*I71</f>
        <v>72.2539181056</v>
      </c>
      <c r="R71" s="1" t="s">
        <v>305</v>
      </c>
      <c r="V71" s="55" t="s">
        <v>306</v>
      </c>
      <c r="X71" s="57" t="n">
        <v>0.2374</v>
      </c>
      <c r="Y71" s="1" t="n">
        <v>32.2</v>
      </c>
      <c r="Z71" s="28" t="n">
        <f aca="false">X71*Y71</f>
        <v>7.64428</v>
      </c>
    </row>
    <row r="72" customFormat="false" ht="15" hidden="false" customHeight="false" outlineLevel="0" collapsed="false">
      <c r="A72" s="39" t="s">
        <v>256</v>
      </c>
      <c r="G72" s="39"/>
      <c r="H72" s="39"/>
      <c r="I72" s="39"/>
      <c r="J72" s="161"/>
      <c r="R72" s="1" t="s">
        <v>307</v>
      </c>
      <c r="V72" s="55" t="s">
        <v>308</v>
      </c>
      <c r="X72" s="57" t="n">
        <v>1.092</v>
      </c>
      <c r="Y72" s="28" t="n">
        <v>24.52</v>
      </c>
      <c r="Z72" s="28" t="n">
        <f aca="false">X72*Y72</f>
        <v>26.77584</v>
      </c>
    </row>
    <row r="73" customFormat="false" ht="15" hidden="false" customHeight="false" outlineLevel="0" collapsed="false">
      <c r="A73" s="1" t="s">
        <v>258</v>
      </c>
      <c r="I73" s="57"/>
      <c r="J73" s="163"/>
      <c r="R73" s="1" t="s">
        <v>309</v>
      </c>
      <c r="V73" s="55" t="s">
        <v>306</v>
      </c>
      <c r="X73" s="57" t="n">
        <v>3</v>
      </c>
      <c r="Y73" s="28" t="n">
        <v>5.8</v>
      </c>
      <c r="Z73" s="28" t="n">
        <f aca="false">X73*Y73</f>
        <v>17.4</v>
      </c>
    </row>
    <row r="74" customFormat="false" ht="15" hidden="false" customHeight="false" outlineLevel="0" collapsed="false">
      <c r="A74" s="1" t="s">
        <v>260</v>
      </c>
      <c r="G74" s="1" t="s">
        <v>1225</v>
      </c>
      <c r="H74" s="1" t="n">
        <f aca="false">0.034*$N$3</f>
        <v>117.62402</v>
      </c>
      <c r="I74" s="57" t="n">
        <v>16.07</v>
      </c>
      <c r="J74" s="163" t="n">
        <f aca="false">H74*I74</f>
        <v>1890.2180014</v>
      </c>
      <c r="L74" s="14"/>
      <c r="V74" s="55"/>
      <c r="X74" s="57"/>
      <c r="Y74" s="28"/>
      <c r="Z74" s="53" t="n">
        <f aca="false">SUM(Z64:Z73)</f>
        <v>120.88833</v>
      </c>
    </row>
    <row r="75" customFormat="false" ht="15" hidden="false" customHeight="false" outlineLevel="0" collapsed="false">
      <c r="A75" s="1" t="s">
        <v>262</v>
      </c>
      <c r="G75" s="1" t="s">
        <v>1225</v>
      </c>
      <c r="H75" s="1" t="n">
        <f aca="false">0.052*$N$3</f>
        <v>179.89556</v>
      </c>
      <c r="I75" s="57" t="n">
        <v>20.09</v>
      </c>
      <c r="J75" s="163" t="n">
        <f aca="false">H75*I75</f>
        <v>3614.1018004</v>
      </c>
      <c r="L75" s="14"/>
      <c r="R75" s="54" t="s">
        <v>310</v>
      </c>
    </row>
    <row r="76" customFormat="false" ht="15" hidden="false" customHeight="false" outlineLevel="0" collapsed="false">
      <c r="A76" s="1" t="s">
        <v>264</v>
      </c>
      <c r="G76" s="1" t="s">
        <v>1225</v>
      </c>
      <c r="H76" s="1" t="n">
        <f aca="false">0.047*$N$3</f>
        <v>162.59791</v>
      </c>
      <c r="I76" s="57" t="n">
        <v>20.09</v>
      </c>
      <c r="J76" s="163" t="n">
        <f aca="false">H76*I76</f>
        <v>3266.5920119</v>
      </c>
      <c r="L76" s="14"/>
      <c r="R76" s="1" t="s">
        <v>311</v>
      </c>
      <c r="V76" s="55" t="s">
        <v>312</v>
      </c>
      <c r="X76" s="57" t="n">
        <v>5</v>
      </c>
      <c r="Y76" s="28" t="n">
        <f aca="false">Z62</f>
        <v>25.8582857142857</v>
      </c>
      <c r="Z76" s="28" t="n">
        <f aca="false">X76%*Y76</f>
        <v>1.29291428571429</v>
      </c>
    </row>
    <row r="77" customFormat="false" ht="15" hidden="false" customHeight="false" outlineLevel="0" collapsed="false">
      <c r="A77" s="1" t="s">
        <v>266</v>
      </c>
      <c r="G77" s="1" t="s">
        <v>1225</v>
      </c>
      <c r="H77" s="1" t="n">
        <f aca="false">0.001*$N$3</f>
        <v>3.45953</v>
      </c>
      <c r="I77" s="57" t="n">
        <v>20.09</v>
      </c>
      <c r="J77" s="163" t="n">
        <f aca="false">H77*I77</f>
        <v>69.5019577</v>
      </c>
      <c r="L77" s="14"/>
      <c r="Q77" s="60"/>
      <c r="R77" s="60"/>
      <c r="S77" s="60"/>
      <c r="T77" s="60"/>
      <c r="U77" s="60"/>
      <c r="V77" s="60"/>
      <c r="W77" s="60"/>
      <c r="X77" s="60"/>
      <c r="Y77" s="60"/>
      <c r="Z77" s="61" t="n">
        <f aca="false">SUM(Z76)</f>
        <v>1.29291428571429</v>
      </c>
    </row>
    <row r="78" customFormat="false" ht="15" hidden="false" customHeight="false" outlineLevel="0" collapsed="false">
      <c r="A78" s="1" t="s">
        <v>268</v>
      </c>
      <c r="G78" s="1" t="s">
        <v>1225</v>
      </c>
      <c r="H78" s="1" t="n">
        <f aca="false">0.0023*$N$3</f>
        <v>7.956919</v>
      </c>
      <c r="I78" s="57" t="n">
        <v>20.09</v>
      </c>
      <c r="J78" s="163" t="n">
        <f aca="false">H78*I78</f>
        <v>159.85450271</v>
      </c>
      <c r="L78" s="14"/>
      <c r="Z78" s="53"/>
    </row>
    <row r="79" customFormat="false" ht="15" hidden="false" customHeight="false" outlineLevel="0" collapsed="false">
      <c r="A79" s="1" t="s">
        <v>270</v>
      </c>
      <c r="G79" s="1" t="s">
        <v>1225</v>
      </c>
      <c r="H79" s="1" t="n">
        <f aca="false">0.0038*$N$3</f>
        <v>13.146214</v>
      </c>
      <c r="I79" s="57" t="n">
        <v>20.09</v>
      </c>
      <c r="J79" s="163" t="n">
        <f aca="false">H79*I79</f>
        <v>264.10743926</v>
      </c>
      <c r="L79" s="14"/>
      <c r="Q79" s="14" t="s">
        <v>278</v>
      </c>
      <c r="R79" s="14"/>
      <c r="S79" s="14" t="s">
        <v>140</v>
      </c>
      <c r="T79" s="14"/>
      <c r="U79" s="14"/>
      <c r="V79" s="14"/>
      <c r="W79" s="14"/>
      <c r="X79" s="14"/>
      <c r="Y79" s="14"/>
    </row>
    <row r="80" customFormat="false" ht="15" hidden="false" customHeight="false" outlineLevel="0" collapsed="false">
      <c r="A80" s="1" t="s">
        <v>272</v>
      </c>
      <c r="G80" s="1" t="s">
        <v>1225</v>
      </c>
      <c r="H80" s="1" t="n">
        <f aca="false">0.037*$N$3</f>
        <v>128.00261</v>
      </c>
      <c r="I80" s="57" t="n">
        <v>20.09</v>
      </c>
      <c r="J80" s="163" t="n">
        <f aca="false">H80*I80</f>
        <v>2571.5724349</v>
      </c>
      <c r="L80" s="14"/>
      <c r="Q80" s="14" t="s">
        <v>279</v>
      </c>
      <c r="R80" s="14" t="s">
        <v>280</v>
      </c>
      <c r="S80" s="36" t="s">
        <v>281</v>
      </c>
      <c r="T80" s="52" t="n">
        <v>30</v>
      </c>
      <c r="U80" s="36" t="s">
        <v>282</v>
      </c>
      <c r="V80" s="52" t="n">
        <f aca="false">T80</f>
        <v>30</v>
      </c>
      <c r="W80" s="14" t="s">
        <v>283</v>
      </c>
      <c r="Y80" s="36" t="s">
        <v>150</v>
      </c>
      <c r="Z80" s="53" t="n">
        <f aca="false">Z86+Z98+Z101</f>
        <v>152.56473</v>
      </c>
    </row>
    <row r="81" customFormat="false" ht="15" hidden="false" customHeight="false" outlineLevel="0" collapsed="false">
      <c r="A81" s="1" t="s">
        <v>256</v>
      </c>
      <c r="I81" s="57"/>
      <c r="J81" s="163"/>
      <c r="L81" s="14"/>
      <c r="Q81" s="14" t="s">
        <v>284</v>
      </c>
      <c r="R81" s="14" t="s">
        <v>285</v>
      </c>
      <c r="V81" s="36" t="s">
        <v>123</v>
      </c>
      <c r="W81" s="36" t="s">
        <v>286</v>
      </c>
      <c r="X81" s="36" t="s">
        <v>287</v>
      </c>
      <c r="Y81" s="36" t="s">
        <v>288</v>
      </c>
      <c r="Z81" s="36" t="s">
        <v>289</v>
      </c>
    </row>
    <row r="82" customFormat="false" ht="15" hidden="false" customHeight="false" outlineLevel="0" collapsed="false">
      <c r="A82" s="1" t="s">
        <v>275</v>
      </c>
      <c r="G82" s="1" t="s">
        <v>1225</v>
      </c>
      <c r="H82" s="1" t="n">
        <f aca="false">0.053*$N$3</f>
        <v>183.35509</v>
      </c>
      <c r="I82" s="57" t="n">
        <v>54.2</v>
      </c>
      <c r="J82" s="163" t="n">
        <f aca="false">H82*I82</f>
        <v>9937.845878</v>
      </c>
      <c r="L82" s="14"/>
      <c r="R82" s="54" t="s">
        <v>290</v>
      </c>
    </row>
    <row r="83" customFormat="false" ht="15" hidden="false" customHeight="false" outlineLevel="0" collapsed="false">
      <c r="A83" s="1" t="s">
        <v>277</v>
      </c>
      <c r="G83" s="1" t="s">
        <v>430</v>
      </c>
      <c r="H83" s="1" t="n">
        <f aca="false">0.044*$N$3</f>
        <v>152.21932</v>
      </c>
      <c r="I83" s="57" t="n">
        <v>40.17</v>
      </c>
      <c r="J83" s="163" t="n">
        <f aca="false">H83*I83</f>
        <v>6114.6500844</v>
      </c>
      <c r="L83" s="14"/>
      <c r="R83" s="1" t="s">
        <v>291</v>
      </c>
      <c r="V83" s="55" t="s">
        <v>292</v>
      </c>
      <c r="W83" s="56" t="n">
        <v>1</v>
      </c>
      <c r="X83" s="57" t="n">
        <f aca="false">W83*8/$T$80</f>
        <v>0.266666666666667</v>
      </c>
      <c r="Y83" s="28" t="n">
        <v>28.94</v>
      </c>
      <c r="Z83" s="28" t="n">
        <f aca="false">X83*Y83</f>
        <v>7.71733333333333</v>
      </c>
    </row>
    <row r="84" customFormat="false" ht="15" hidden="false" customHeight="false" outlineLevel="0" collapsed="false">
      <c r="F84" s="57"/>
      <c r="H84" s="28"/>
      <c r="I84" s="28"/>
      <c r="J84" s="163"/>
      <c r="L84" s="14"/>
      <c r="R84" s="1" t="s">
        <v>293</v>
      </c>
      <c r="V84" s="55" t="s">
        <v>292</v>
      </c>
      <c r="W84" s="56" t="n">
        <v>1</v>
      </c>
      <c r="X84" s="57" t="n">
        <f aca="false">W84*8/$T$80</f>
        <v>0.266666666666667</v>
      </c>
      <c r="Y84" s="28" t="n">
        <v>22.66</v>
      </c>
      <c r="Z84" s="28" t="n">
        <f aca="false">X84*Y84</f>
        <v>6.04266666666667</v>
      </c>
    </row>
    <row r="85" customFormat="false" ht="15" hidden="false" customHeight="false" outlineLevel="0" collapsed="false">
      <c r="F85" s="57"/>
      <c r="H85" s="28"/>
      <c r="I85" s="28"/>
      <c r="J85" s="163"/>
      <c r="L85" s="14"/>
      <c r="R85" s="1" t="s">
        <v>294</v>
      </c>
      <c r="V85" s="55" t="s">
        <v>292</v>
      </c>
      <c r="W85" s="56" t="n">
        <v>3</v>
      </c>
      <c r="X85" s="57" t="n">
        <f aca="false">W85*8/$T$80</f>
        <v>0.8</v>
      </c>
      <c r="Y85" s="28" t="n">
        <v>20.51</v>
      </c>
      <c r="Z85" s="28" t="n">
        <f aca="false">X85*Y85</f>
        <v>16.408</v>
      </c>
    </row>
    <row r="86" customFormat="false" ht="15" hidden="false" customHeight="false" outlineLevel="0" collapsed="false">
      <c r="F86" s="57"/>
      <c r="H86" s="28"/>
      <c r="I86" s="28"/>
      <c r="J86" s="163"/>
      <c r="L86" s="14"/>
      <c r="Z86" s="53" t="n">
        <f aca="false">SUM(Z83:Z85)</f>
        <v>30.168</v>
      </c>
    </row>
    <row r="87" customFormat="false" ht="15" hidden="false" customHeight="false" outlineLevel="0" collapsed="false">
      <c r="F87" s="57"/>
      <c r="H87" s="28"/>
      <c r="I87" s="28"/>
      <c r="J87" s="163"/>
      <c r="L87" s="14"/>
      <c r="R87" s="54" t="s">
        <v>295</v>
      </c>
    </row>
    <row r="88" customFormat="false" ht="15" hidden="false" customHeight="false" outlineLevel="0" collapsed="false">
      <c r="F88" s="57"/>
      <c r="H88" s="28"/>
      <c r="I88" s="28"/>
      <c r="J88" s="163"/>
      <c r="L88" s="14"/>
      <c r="R88" s="1" t="s">
        <v>296</v>
      </c>
      <c r="V88" s="55" t="s">
        <v>297</v>
      </c>
      <c r="W88" s="56"/>
      <c r="X88" s="57" t="n">
        <v>1.25</v>
      </c>
      <c r="Y88" s="28" t="n">
        <v>2.64</v>
      </c>
      <c r="Z88" s="28" t="n">
        <f aca="false">X88*Y88</f>
        <v>3.3</v>
      </c>
    </row>
    <row r="89" customFormat="false" ht="15" hidden="false" customHeight="false" outlineLevel="0" collapsed="false">
      <c r="F89" s="57"/>
      <c r="H89" s="28"/>
      <c r="I89" s="28"/>
      <c r="J89" s="163"/>
      <c r="L89" s="14"/>
      <c r="R89" s="1" t="s">
        <v>298</v>
      </c>
      <c r="V89" s="55" t="s">
        <v>299</v>
      </c>
      <c r="W89" s="56"/>
      <c r="X89" s="57" t="n">
        <v>1.8</v>
      </c>
      <c r="Y89" s="1" t="n">
        <v>14.15</v>
      </c>
      <c r="Z89" s="28" t="n">
        <f aca="false">X89*Y89</f>
        <v>25.47</v>
      </c>
    </row>
    <row r="90" customFormat="false" ht="15" hidden="false" customHeight="false" outlineLevel="0" collapsed="false">
      <c r="F90" s="57"/>
      <c r="H90" s="28"/>
      <c r="I90" s="28"/>
      <c r="J90" s="163"/>
      <c r="L90" s="14"/>
      <c r="R90" s="1" t="s">
        <v>300</v>
      </c>
      <c r="V90" s="55" t="s">
        <v>150</v>
      </c>
      <c r="W90" s="56"/>
      <c r="X90" s="57" t="n">
        <v>0.2</v>
      </c>
      <c r="Y90" s="1" t="n">
        <v>55</v>
      </c>
      <c r="Z90" s="28" t="n">
        <f aca="false">X90*Y90</f>
        <v>11</v>
      </c>
    </row>
    <row r="91" customFormat="false" ht="15" hidden="false" customHeight="false" outlineLevel="0" collapsed="false">
      <c r="F91" s="57"/>
      <c r="H91" s="28"/>
      <c r="I91" s="28"/>
      <c r="J91" s="163"/>
      <c r="L91" s="14"/>
      <c r="R91" s="1" t="s">
        <v>301</v>
      </c>
      <c r="V91" s="55" t="s">
        <v>297</v>
      </c>
      <c r="X91" s="57" t="n">
        <v>0.06</v>
      </c>
      <c r="Y91" s="1" t="n">
        <v>10.93</v>
      </c>
      <c r="Z91" s="28" t="n">
        <f aca="false">X91*Y91</f>
        <v>0.6558</v>
      </c>
    </row>
    <row r="92" customFormat="false" ht="15" hidden="false" customHeight="false" outlineLevel="0" collapsed="false">
      <c r="F92" s="57"/>
      <c r="H92" s="28"/>
      <c r="I92" s="28"/>
      <c r="J92" s="163"/>
      <c r="L92" s="14"/>
      <c r="R92" s="1" t="s">
        <v>302</v>
      </c>
      <c r="V92" s="55" t="s">
        <v>297</v>
      </c>
      <c r="X92" s="57" t="n">
        <v>0.071</v>
      </c>
      <c r="Y92" s="28" t="n">
        <v>5.51</v>
      </c>
      <c r="Z92" s="28" t="n">
        <f aca="false">X92*Y92</f>
        <v>0.39121</v>
      </c>
    </row>
    <row r="93" customFormat="false" ht="15" hidden="false" customHeight="false" outlineLevel="0" collapsed="false">
      <c r="F93" s="57"/>
      <c r="H93" s="28"/>
      <c r="I93" s="28"/>
      <c r="J93" s="163"/>
      <c r="L93" s="14"/>
      <c r="R93" s="1" t="s">
        <v>303</v>
      </c>
      <c r="V93" s="55" t="s">
        <v>204</v>
      </c>
      <c r="X93" s="57" t="n">
        <v>0.19</v>
      </c>
      <c r="Y93" s="28" t="n">
        <v>70.92</v>
      </c>
      <c r="Z93" s="28" t="n">
        <f aca="false">X93*Y93</f>
        <v>13.4748</v>
      </c>
    </row>
    <row r="94" customFormat="false" ht="15" hidden="false" customHeight="false" outlineLevel="0" collapsed="false">
      <c r="F94" s="57"/>
      <c r="H94" s="28"/>
      <c r="I94" s="28"/>
      <c r="J94" s="163"/>
      <c r="L94" s="14"/>
      <c r="R94" s="1" t="s">
        <v>304</v>
      </c>
      <c r="V94" s="55" t="s">
        <v>299</v>
      </c>
      <c r="X94" s="57" t="n">
        <v>0.53</v>
      </c>
      <c r="Y94" s="1" t="n">
        <v>27.88</v>
      </c>
      <c r="Z94" s="28" t="n">
        <f aca="false">X94*Y94</f>
        <v>14.7764</v>
      </c>
    </row>
    <row r="95" customFormat="false" ht="15" hidden="false" customHeight="false" outlineLevel="0" collapsed="false">
      <c r="A95" s="42"/>
      <c r="F95" s="57"/>
      <c r="G95" s="42"/>
      <c r="H95" s="167"/>
      <c r="I95" s="42"/>
      <c r="J95" s="162"/>
      <c r="R95" s="1" t="s">
        <v>305</v>
      </c>
      <c r="V95" s="55" t="s">
        <v>306</v>
      </c>
      <c r="X95" s="57" t="n">
        <v>0.2374</v>
      </c>
      <c r="Y95" s="1" t="n">
        <v>32.2</v>
      </c>
      <c r="Z95" s="28" t="n">
        <f aca="false">X95*Y95</f>
        <v>7.64428</v>
      </c>
    </row>
    <row r="96" customFormat="false" ht="15" hidden="false" customHeight="false" outlineLevel="0" collapsed="false">
      <c r="F96" s="57"/>
      <c r="H96" s="28"/>
      <c r="I96" s="28"/>
      <c r="J96" s="163"/>
      <c r="R96" s="1" t="s">
        <v>307</v>
      </c>
      <c r="V96" s="55" t="s">
        <v>308</v>
      </c>
      <c r="X96" s="57" t="n">
        <v>1.092</v>
      </c>
      <c r="Y96" s="28" t="n">
        <v>24.52</v>
      </c>
      <c r="Z96" s="28" t="n">
        <f aca="false">X96*Y96</f>
        <v>26.77584</v>
      </c>
    </row>
    <row r="97" customFormat="false" ht="15" hidden="false" customHeight="false" outlineLevel="0" collapsed="false">
      <c r="F97" s="57"/>
      <c r="H97" s="28"/>
      <c r="I97" s="28"/>
      <c r="J97" s="163"/>
      <c r="R97" s="1" t="s">
        <v>309</v>
      </c>
      <c r="V97" s="55" t="s">
        <v>306</v>
      </c>
      <c r="X97" s="57" t="n">
        <v>3</v>
      </c>
      <c r="Y97" s="28" t="n">
        <v>5.8</v>
      </c>
      <c r="Z97" s="28" t="n">
        <f aca="false">X97*Y97</f>
        <v>17.4</v>
      </c>
    </row>
    <row r="98" customFormat="false" ht="15" hidden="false" customHeight="false" outlineLevel="0" collapsed="false">
      <c r="F98" s="57"/>
      <c r="H98" s="28"/>
      <c r="I98" s="28"/>
      <c r="J98" s="163"/>
      <c r="M98" s="14"/>
      <c r="V98" s="55"/>
      <c r="X98" s="57"/>
      <c r="Y98" s="28"/>
      <c r="Z98" s="53" t="n">
        <f aca="false">SUM(Z88:Z97)</f>
        <v>120.88833</v>
      </c>
    </row>
    <row r="99" customFormat="false" ht="15" hidden="false" customHeight="false" outlineLevel="0" collapsed="false">
      <c r="F99" s="57"/>
      <c r="H99" s="28"/>
      <c r="I99" s="28"/>
      <c r="J99" s="163"/>
      <c r="M99" s="14"/>
      <c r="R99" s="54" t="s">
        <v>310</v>
      </c>
    </row>
    <row r="100" customFormat="false" ht="15" hidden="false" customHeight="false" outlineLevel="0" collapsed="false">
      <c r="F100" s="57"/>
      <c r="H100" s="28"/>
      <c r="I100" s="28"/>
      <c r="J100" s="163"/>
      <c r="M100" s="14"/>
      <c r="R100" s="1" t="s">
        <v>311</v>
      </c>
      <c r="V100" s="55" t="s">
        <v>312</v>
      </c>
      <c r="X100" s="57" t="n">
        <v>5</v>
      </c>
      <c r="Y100" s="28" t="n">
        <f aca="false">Z86</f>
        <v>30.168</v>
      </c>
      <c r="Z100" s="28" t="n">
        <f aca="false">X100%*Y100</f>
        <v>1.5084</v>
      </c>
    </row>
    <row r="101" customFormat="false" ht="15" hidden="false" customHeight="false" outlineLevel="0" collapsed="false">
      <c r="F101" s="57"/>
      <c r="H101" s="28"/>
      <c r="I101" s="28"/>
      <c r="J101" s="163"/>
      <c r="M101" s="14"/>
      <c r="Q101" s="60"/>
      <c r="R101" s="60"/>
      <c r="S101" s="60"/>
      <c r="T101" s="60"/>
      <c r="U101" s="60"/>
      <c r="V101" s="60"/>
      <c r="W101" s="60"/>
      <c r="X101" s="60"/>
      <c r="Y101" s="60"/>
      <c r="Z101" s="61" t="n">
        <f aca="false">SUM(Z100)</f>
        <v>1.5084</v>
      </c>
    </row>
    <row r="102" customFormat="false" ht="15" hidden="false" customHeight="false" outlineLevel="0" collapsed="false">
      <c r="F102" s="57"/>
      <c r="H102" s="28"/>
      <c r="I102" s="28"/>
      <c r="J102" s="163"/>
      <c r="M102" s="14"/>
    </row>
    <row r="103" customFormat="false" ht="15" hidden="false" customHeight="false" outlineLevel="0" collapsed="false">
      <c r="F103" s="57"/>
      <c r="H103" s="28"/>
      <c r="I103" s="28"/>
      <c r="J103" s="163"/>
      <c r="M103" s="14"/>
      <c r="Q103" s="14" t="s">
        <v>278</v>
      </c>
      <c r="R103" s="14"/>
      <c r="S103" s="14" t="s">
        <v>142</v>
      </c>
      <c r="T103" s="14"/>
      <c r="U103" s="14"/>
      <c r="V103" s="14"/>
      <c r="W103" s="14"/>
      <c r="X103" s="14"/>
      <c r="Y103" s="14"/>
    </row>
    <row r="104" customFormat="false" ht="15" hidden="false" customHeight="false" outlineLevel="0" collapsed="false">
      <c r="F104" s="57"/>
      <c r="H104" s="28"/>
      <c r="I104" s="28"/>
      <c r="J104" s="163"/>
      <c r="M104" s="14"/>
      <c r="Q104" s="14" t="s">
        <v>279</v>
      </c>
      <c r="R104" s="14" t="s">
        <v>280</v>
      </c>
      <c r="S104" s="36" t="s">
        <v>281</v>
      </c>
      <c r="T104" s="52" t="n">
        <v>32</v>
      </c>
      <c r="U104" s="36" t="s">
        <v>282</v>
      </c>
      <c r="V104" s="52" t="n">
        <f aca="false">T104</f>
        <v>32</v>
      </c>
      <c r="W104" s="14" t="s">
        <v>283</v>
      </c>
      <c r="Y104" s="36" t="s">
        <v>150</v>
      </c>
      <c r="Z104" s="53" t="n">
        <f aca="false">Z110+Z122+Z125</f>
        <v>206.192765</v>
      </c>
    </row>
    <row r="105" customFormat="false" ht="15" hidden="false" customHeight="false" outlineLevel="0" collapsed="false">
      <c r="F105" s="57"/>
      <c r="H105" s="28"/>
      <c r="I105" s="28"/>
      <c r="J105" s="163"/>
      <c r="M105" s="14"/>
      <c r="N105" s="28"/>
      <c r="Q105" s="14" t="s">
        <v>284</v>
      </c>
      <c r="R105" s="14" t="s">
        <v>285</v>
      </c>
      <c r="V105" s="36" t="s">
        <v>123</v>
      </c>
      <c r="W105" s="36" t="s">
        <v>286</v>
      </c>
      <c r="X105" s="36" t="s">
        <v>287</v>
      </c>
      <c r="Y105" s="36" t="s">
        <v>288</v>
      </c>
      <c r="Z105" s="36" t="s">
        <v>289</v>
      </c>
    </row>
    <row r="106" customFormat="false" ht="15" hidden="false" customHeight="false" outlineLevel="0" collapsed="false">
      <c r="F106" s="57"/>
      <c r="H106" s="28"/>
      <c r="I106" s="28"/>
      <c r="J106" s="163"/>
      <c r="M106" s="14"/>
      <c r="R106" s="54" t="s">
        <v>290</v>
      </c>
    </row>
    <row r="107" customFormat="false" ht="15" hidden="false" customHeight="false" outlineLevel="0" collapsed="false">
      <c r="F107" s="57"/>
      <c r="H107" s="28"/>
      <c r="I107" s="28"/>
      <c r="J107" s="163"/>
      <c r="M107" s="14"/>
      <c r="R107" s="1" t="s">
        <v>291</v>
      </c>
      <c r="V107" s="55" t="s">
        <v>292</v>
      </c>
      <c r="W107" s="56" t="n">
        <v>1</v>
      </c>
      <c r="X107" s="57" t="n">
        <f aca="false">W107*8/$T$104</f>
        <v>0.25</v>
      </c>
      <c r="Y107" s="28" t="n">
        <v>28.94</v>
      </c>
      <c r="Z107" s="28" t="n">
        <f aca="false">X107*Y107</f>
        <v>7.235</v>
      </c>
    </row>
    <row r="108" customFormat="false" ht="15" hidden="false" customHeight="false" outlineLevel="0" collapsed="false">
      <c r="F108" s="57"/>
      <c r="H108" s="28"/>
      <c r="I108" s="28"/>
      <c r="J108" s="163"/>
      <c r="M108" s="14"/>
      <c r="R108" s="1" t="s">
        <v>293</v>
      </c>
      <c r="V108" s="55" t="s">
        <v>292</v>
      </c>
      <c r="W108" s="56" t="n">
        <v>1</v>
      </c>
      <c r="X108" s="57" t="n">
        <f aca="false">W108*8/$T$104</f>
        <v>0.25</v>
      </c>
      <c r="Y108" s="28" t="n">
        <v>22.66</v>
      </c>
      <c r="Z108" s="28" t="n">
        <f aca="false">X108*Y108</f>
        <v>5.665</v>
      </c>
    </row>
    <row r="109" customFormat="false" ht="15" hidden="false" customHeight="false" outlineLevel="0" collapsed="false">
      <c r="F109" s="57"/>
      <c r="H109" s="28"/>
      <c r="I109" s="28"/>
      <c r="J109" s="163"/>
      <c r="M109" s="14"/>
      <c r="R109" s="1" t="s">
        <v>294</v>
      </c>
      <c r="V109" s="55" t="s">
        <v>292</v>
      </c>
      <c r="W109" s="56" t="n">
        <v>3</v>
      </c>
      <c r="X109" s="57" t="n">
        <f aca="false">W109*8/$T$104</f>
        <v>0.75</v>
      </c>
      <c r="Y109" s="28" t="n">
        <v>20.51</v>
      </c>
      <c r="Z109" s="28" t="n">
        <f aca="false">X109*Y109</f>
        <v>15.3825</v>
      </c>
    </row>
    <row r="110" customFormat="false" ht="15" hidden="false" customHeight="false" outlineLevel="0" collapsed="false">
      <c r="F110" s="57"/>
      <c r="H110" s="28"/>
      <c r="I110" s="28"/>
      <c r="J110" s="163"/>
      <c r="M110" s="14"/>
      <c r="Z110" s="53" t="n">
        <f aca="false">SUM(Z107:Z109)</f>
        <v>28.2825</v>
      </c>
    </row>
    <row r="111" customFormat="false" ht="15" hidden="false" customHeight="false" outlineLevel="0" collapsed="false">
      <c r="F111" s="57"/>
      <c r="I111" s="28"/>
      <c r="J111" s="163"/>
      <c r="M111" s="14"/>
      <c r="R111" s="54" t="s">
        <v>295</v>
      </c>
    </row>
    <row r="112" customFormat="false" ht="15" hidden="false" customHeight="false" outlineLevel="0" collapsed="false">
      <c r="M112" s="14"/>
      <c r="R112" s="1" t="s">
        <v>296</v>
      </c>
      <c r="V112" s="55" t="s">
        <v>297</v>
      </c>
      <c r="W112" s="56"/>
      <c r="X112" s="57" t="n">
        <v>1.25</v>
      </c>
      <c r="Y112" s="28" t="n">
        <v>2.64</v>
      </c>
      <c r="Z112" s="28" t="n">
        <f aca="false">X112*Y112</f>
        <v>3.3</v>
      </c>
    </row>
    <row r="113" customFormat="false" ht="15" hidden="false" customHeight="false" outlineLevel="0" collapsed="false">
      <c r="R113" s="1" t="s">
        <v>298</v>
      </c>
      <c r="V113" s="55" t="s">
        <v>299</v>
      </c>
      <c r="W113" s="56"/>
      <c r="X113" s="57" t="n">
        <v>1.8</v>
      </c>
      <c r="Y113" s="1" t="n">
        <v>14.15</v>
      </c>
      <c r="Z113" s="28" t="n">
        <f aca="false">X113*Y113</f>
        <v>25.47</v>
      </c>
    </row>
    <row r="114" customFormat="false" ht="15" hidden="false" customHeight="false" outlineLevel="0" collapsed="false">
      <c r="R114" s="1" t="s">
        <v>300</v>
      </c>
      <c r="V114" s="55" t="s">
        <v>150</v>
      </c>
      <c r="W114" s="56"/>
      <c r="X114" s="57" t="n">
        <v>0.2</v>
      </c>
      <c r="Y114" s="1" t="n">
        <v>55</v>
      </c>
      <c r="Z114" s="28" t="n">
        <f aca="false">X114*Y114</f>
        <v>11</v>
      </c>
    </row>
    <row r="115" customFormat="false" ht="15" hidden="false" customHeight="false" outlineLevel="0" collapsed="false">
      <c r="R115" s="1" t="s">
        <v>301</v>
      </c>
      <c r="V115" s="55" t="s">
        <v>297</v>
      </c>
      <c r="X115" s="57" t="n">
        <v>0.12</v>
      </c>
      <c r="Y115" s="1" t="n">
        <v>10.93</v>
      </c>
      <c r="Z115" s="28" t="n">
        <f aca="false">X115*Y115</f>
        <v>1.3116</v>
      </c>
    </row>
    <row r="116" customFormat="false" ht="15" hidden="false" customHeight="false" outlineLevel="0" collapsed="false">
      <c r="R116" s="1" t="s">
        <v>302</v>
      </c>
      <c r="V116" s="55" t="s">
        <v>297</v>
      </c>
      <c r="X116" s="57" t="n">
        <v>0.05</v>
      </c>
      <c r="Y116" s="28" t="n">
        <v>5.51</v>
      </c>
      <c r="Z116" s="28" t="n">
        <f aca="false">X116*Y116</f>
        <v>0.2755</v>
      </c>
    </row>
    <row r="117" customFormat="false" ht="15" hidden="false" customHeight="false" outlineLevel="0" collapsed="false">
      <c r="R117" s="1" t="s">
        <v>313</v>
      </c>
      <c r="V117" s="55" t="s">
        <v>150</v>
      </c>
      <c r="X117" s="1" t="n">
        <v>0.04</v>
      </c>
      <c r="Y117" s="1" t="n">
        <v>1567.8</v>
      </c>
      <c r="Z117" s="28" t="n">
        <f aca="false">X117*Y117</f>
        <v>62.712</v>
      </c>
    </row>
    <row r="118" customFormat="false" ht="15" hidden="false" customHeight="false" outlineLevel="0" collapsed="false">
      <c r="R118" s="1" t="s">
        <v>303</v>
      </c>
      <c r="V118" s="55" t="s">
        <v>204</v>
      </c>
      <c r="X118" s="57" t="n">
        <v>0.19</v>
      </c>
      <c r="Y118" s="28" t="n">
        <v>70.92</v>
      </c>
      <c r="Z118" s="28" t="n">
        <f aca="false">X118*Y118</f>
        <v>13.4748</v>
      </c>
      <c r="AC118" s="57"/>
    </row>
    <row r="119" customFormat="false" ht="15" hidden="false" customHeight="false" outlineLevel="0" collapsed="false">
      <c r="R119" s="1" t="s">
        <v>304</v>
      </c>
      <c r="V119" s="55" t="s">
        <v>299</v>
      </c>
      <c r="X119" s="57" t="n">
        <v>0.53</v>
      </c>
      <c r="Y119" s="1" t="n">
        <v>27.88</v>
      </c>
      <c r="Z119" s="28" t="n">
        <f aca="false">X119*Y119</f>
        <v>14.7764</v>
      </c>
    </row>
    <row r="120" customFormat="false" ht="15" hidden="false" customHeight="false" outlineLevel="0" collapsed="false">
      <c r="R120" s="1" t="s">
        <v>307</v>
      </c>
      <c r="V120" s="55" t="s">
        <v>308</v>
      </c>
      <c r="X120" s="57" t="n">
        <v>1.092</v>
      </c>
      <c r="Y120" s="28" t="n">
        <v>24.52</v>
      </c>
      <c r="Z120" s="28" t="n">
        <f aca="false">X120*Y120</f>
        <v>26.77584</v>
      </c>
    </row>
    <row r="121" customFormat="false" ht="15" hidden="false" customHeight="false" outlineLevel="0" collapsed="false">
      <c r="R121" s="1" t="s">
        <v>309</v>
      </c>
      <c r="V121" s="55" t="s">
        <v>306</v>
      </c>
      <c r="X121" s="57" t="n">
        <v>3</v>
      </c>
      <c r="Y121" s="28" t="n">
        <v>5.8</v>
      </c>
      <c r="Z121" s="28" t="n">
        <f aca="false">X121*Y121</f>
        <v>17.4</v>
      </c>
    </row>
    <row r="122" customFormat="false" ht="15" hidden="false" customHeight="false" outlineLevel="0" collapsed="false">
      <c r="V122" s="55"/>
      <c r="X122" s="57"/>
      <c r="Y122" s="28"/>
      <c r="Z122" s="53" t="n">
        <f aca="false">SUM(Z112:Z121)</f>
        <v>176.49614</v>
      </c>
    </row>
    <row r="123" customFormat="false" ht="15" hidden="false" customHeight="false" outlineLevel="0" collapsed="false">
      <c r="R123" s="54" t="s">
        <v>310</v>
      </c>
    </row>
    <row r="124" customFormat="false" ht="15" hidden="false" customHeight="false" outlineLevel="0" collapsed="false">
      <c r="R124" s="1" t="s">
        <v>311</v>
      </c>
      <c r="V124" s="55" t="s">
        <v>312</v>
      </c>
      <c r="X124" s="57" t="n">
        <v>5</v>
      </c>
      <c r="Y124" s="28" t="n">
        <f aca="false">Z110</f>
        <v>28.2825</v>
      </c>
      <c r="Z124" s="28" t="n">
        <f aca="false">X124%*Y124</f>
        <v>1.414125</v>
      </c>
    </row>
    <row r="125" customFormat="false" ht="15" hidden="false" customHeight="false" outlineLevel="0" collapsed="false">
      <c r="Q125" s="60"/>
      <c r="R125" s="60"/>
      <c r="S125" s="60"/>
      <c r="T125" s="60"/>
      <c r="U125" s="60"/>
      <c r="V125" s="60"/>
      <c r="W125" s="60"/>
      <c r="X125" s="60"/>
      <c r="Y125" s="60"/>
      <c r="Z125" s="61" t="n">
        <f aca="false">SUM(Z124)</f>
        <v>1.414125</v>
      </c>
    </row>
    <row r="127" customFormat="false" ht="15" hidden="false" customHeight="false" outlineLevel="0" collapsed="false">
      <c r="Q127" s="14" t="s">
        <v>278</v>
      </c>
      <c r="R127" s="14"/>
      <c r="S127" s="14" t="s">
        <v>144</v>
      </c>
      <c r="T127" s="14"/>
      <c r="U127" s="14"/>
      <c r="V127" s="14"/>
      <c r="W127" s="14"/>
      <c r="X127" s="14"/>
      <c r="Y127" s="14"/>
    </row>
    <row r="128" customFormat="false" ht="15" hidden="false" customHeight="false" outlineLevel="0" collapsed="false">
      <c r="Q128" s="14" t="s">
        <v>279</v>
      </c>
      <c r="R128" s="14" t="s">
        <v>314</v>
      </c>
      <c r="S128" s="36" t="s">
        <v>281</v>
      </c>
      <c r="T128" s="52" t="n">
        <v>30</v>
      </c>
      <c r="U128" s="36" t="s">
        <v>282</v>
      </c>
      <c r="V128" s="52" t="n">
        <f aca="false">T128</f>
        <v>30</v>
      </c>
      <c r="W128" s="14" t="s">
        <v>283</v>
      </c>
      <c r="Y128" s="36" t="s">
        <v>145</v>
      </c>
      <c r="Z128" s="53" t="n">
        <f aca="false">Z133+Z138+Z141</f>
        <v>44.0695466666667</v>
      </c>
    </row>
    <row r="129" customFormat="false" ht="15" hidden="false" customHeight="false" outlineLevel="0" collapsed="false">
      <c r="Q129" s="14" t="s">
        <v>284</v>
      </c>
      <c r="R129" s="14" t="s">
        <v>285</v>
      </c>
      <c r="V129" s="36" t="s">
        <v>123</v>
      </c>
      <c r="W129" s="36" t="s">
        <v>286</v>
      </c>
      <c r="X129" s="36" t="s">
        <v>287</v>
      </c>
      <c r="Y129" s="36" t="s">
        <v>288</v>
      </c>
      <c r="Z129" s="36" t="s">
        <v>289</v>
      </c>
    </row>
    <row r="130" customFormat="false" ht="15" hidden="false" customHeight="false" outlineLevel="0" collapsed="false">
      <c r="R130" s="54" t="s">
        <v>290</v>
      </c>
    </row>
    <row r="131" customFormat="false" ht="15" hidden="false" customHeight="false" outlineLevel="0" collapsed="false">
      <c r="R131" s="1" t="s">
        <v>293</v>
      </c>
      <c r="V131" s="55" t="s">
        <v>292</v>
      </c>
      <c r="W131" s="56" t="n">
        <v>1</v>
      </c>
      <c r="X131" s="57" t="n">
        <f aca="false">W131*8/$T$128</f>
        <v>0.266666666666667</v>
      </c>
      <c r="Y131" s="28" t="n">
        <v>23.6</v>
      </c>
      <c r="Z131" s="28" t="n">
        <f aca="false">X131*Y131</f>
        <v>6.29333333333333</v>
      </c>
    </row>
    <row r="132" customFormat="false" ht="15" hidden="false" customHeight="false" outlineLevel="0" collapsed="false">
      <c r="R132" s="1" t="s">
        <v>294</v>
      </c>
      <c r="V132" s="55" t="s">
        <v>292</v>
      </c>
      <c r="W132" s="56" t="n">
        <v>1</v>
      </c>
      <c r="X132" s="57" t="n">
        <f aca="false">W132*8/$T$128</f>
        <v>0.266666666666667</v>
      </c>
      <c r="Y132" s="28" t="n">
        <v>20.51</v>
      </c>
      <c r="Z132" s="28" t="n">
        <f aca="false">X132*Y132</f>
        <v>5.46933333333333</v>
      </c>
    </row>
    <row r="133" customFormat="false" ht="15" hidden="false" customHeight="false" outlineLevel="0" collapsed="false">
      <c r="Z133" s="53" t="n">
        <f aca="false">SUM(Z131:Z132)</f>
        <v>11.7626666666667</v>
      </c>
    </row>
    <row r="134" customFormat="false" ht="15" hidden="false" customHeight="false" outlineLevel="0" collapsed="false">
      <c r="R134" s="54" t="s">
        <v>295</v>
      </c>
    </row>
    <row r="135" customFormat="false" ht="15" hidden="false" customHeight="false" outlineLevel="0" collapsed="false">
      <c r="R135" s="1" t="s">
        <v>315</v>
      </c>
      <c r="V135" s="55" t="s">
        <v>316</v>
      </c>
      <c r="W135" s="56"/>
      <c r="X135" s="57" t="n">
        <v>1</v>
      </c>
      <c r="Y135" s="28" t="n">
        <v>8.5</v>
      </c>
      <c r="Z135" s="28" t="n">
        <f aca="false">X135*Y135</f>
        <v>8.5</v>
      </c>
    </row>
    <row r="136" customFormat="false" ht="15" hidden="false" customHeight="false" outlineLevel="0" collapsed="false">
      <c r="R136" s="1" t="s">
        <v>317</v>
      </c>
      <c r="V136" s="55" t="s">
        <v>297</v>
      </c>
      <c r="W136" s="56"/>
      <c r="X136" s="57" t="n">
        <v>0.05</v>
      </c>
      <c r="Y136" s="28" t="n">
        <v>5.08</v>
      </c>
      <c r="Z136" s="28" t="n">
        <f aca="false">X136*Y136</f>
        <v>0.254</v>
      </c>
    </row>
    <row r="137" customFormat="false" ht="15" hidden="false" customHeight="false" outlineLevel="0" collapsed="false">
      <c r="R137" s="1" t="s">
        <v>309</v>
      </c>
      <c r="V137" s="55" t="s">
        <v>306</v>
      </c>
      <c r="X137" s="57" t="n">
        <v>4</v>
      </c>
      <c r="Y137" s="28" t="n">
        <v>5.8</v>
      </c>
      <c r="Z137" s="28" t="n">
        <f aca="false">X137*Y137</f>
        <v>23.2</v>
      </c>
    </row>
    <row r="138" customFormat="false" ht="15" hidden="false" customHeight="false" outlineLevel="0" collapsed="false">
      <c r="Z138" s="53" t="n">
        <f aca="false">SUM(Z135:Z137)</f>
        <v>31.954</v>
      </c>
    </row>
    <row r="139" customFormat="false" ht="15" hidden="false" customHeight="false" outlineLevel="0" collapsed="false">
      <c r="R139" s="54" t="s">
        <v>318</v>
      </c>
    </row>
    <row r="140" customFormat="false" ht="15" hidden="false" customHeight="false" outlineLevel="0" collapsed="false">
      <c r="R140" s="1" t="s">
        <v>311</v>
      </c>
      <c r="V140" s="55" t="s">
        <v>312</v>
      </c>
      <c r="X140" s="57" t="n">
        <v>3</v>
      </c>
      <c r="Y140" s="28" t="n">
        <f aca="false">Z133</f>
        <v>11.7626666666667</v>
      </c>
      <c r="Z140" s="28" t="n">
        <f aca="false">X140%*Y140</f>
        <v>0.35288</v>
      </c>
    </row>
    <row r="141" customFormat="false" ht="15" hidden="false" customHeight="false" outlineLevel="0" collapsed="false">
      <c r="Q141" s="60"/>
      <c r="R141" s="60"/>
      <c r="S141" s="60"/>
      <c r="T141" s="60"/>
      <c r="U141" s="60"/>
      <c r="V141" s="62"/>
      <c r="W141" s="63"/>
      <c r="X141" s="64"/>
      <c r="Y141" s="65"/>
      <c r="Z141" s="61" t="n">
        <f aca="false">SUM(Z140)</f>
        <v>0.35288</v>
      </c>
    </row>
    <row r="143" customFormat="false" ht="15" hidden="false" customHeight="false" outlineLevel="0" collapsed="false">
      <c r="Q143" s="14" t="s">
        <v>278</v>
      </c>
      <c r="R143" s="14"/>
      <c r="S143" s="14" t="s">
        <v>147</v>
      </c>
      <c r="T143" s="14"/>
      <c r="U143" s="14"/>
      <c r="V143" s="14"/>
      <c r="W143" s="14"/>
      <c r="X143" s="14"/>
      <c r="Y143" s="14"/>
    </row>
    <row r="144" customFormat="false" ht="15" hidden="false" customHeight="false" outlineLevel="0" collapsed="false">
      <c r="Q144" s="14" t="s">
        <v>279</v>
      </c>
      <c r="R144" s="14" t="s">
        <v>280</v>
      </c>
      <c r="S144" s="36" t="s">
        <v>281</v>
      </c>
      <c r="T144" s="52" t="n">
        <v>20</v>
      </c>
      <c r="U144" s="36" t="s">
        <v>282</v>
      </c>
      <c r="V144" s="52" t="n">
        <f aca="false">T144</f>
        <v>20</v>
      </c>
      <c r="W144" s="14" t="s">
        <v>283</v>
      </c>
      <c r="Y144" s="36" t="s">
        <v>150</v>
      </c>
      <c r="Z144" s="53" t="n">
        <f aca="false">Z149+Z168+Z170</f>
        <v>343.16159</v>
      </c>
    </row>
    <row r="145" customFormat="false" ht="15" hidden="false" customHeight="false" outlineLevel="0" collapsed="false">
      <c r="Q145" s="14" t="s">
        <v>284</v>
      </c>
      <c r="R145" s="14" t="s">
        <v>285</v>
      </c>
      <c r="V145" s="36" t="s">
        <v>123</v>
      </c>
      <c r="W145" s="36" t="s">
        <v>286</v>
      </c>
      <c r="X145" s="36" t="s">
        <v>287</v>
      </c>
      <c r="Y145" s="36" t="s">
        <v>288</v>
      </c>
      <c r="Z145" s="36" t="s">
        <v>289</v>
      </c>
    </row>
    <row r="146" customFormat="false" ht="15" hidden="false" customHeight="false" outlineLevel="0" collapsed="false">
      <c r="R146" s="54" t="s">
        <v>290</v>
      </c>
    </row>
    <row r="147" customFormat="false" ht="15" hidden="false" customHeight="false" outlineLevel="0" collapsed="false">
      <c r="R147" s="1" t="s">
        <v>291</v>
      </c>
      <c r="V147" s="55" t="s">
        <v>292</v>
      </c>
      <c r="W147" s="56" t="n">
        <v>1</v>
      </c>
      <c r="X147" s="57" t="n">
        <f aca="false">W147*8/$T$144</f>
        <v>0.4</v>
      </c>
      <c r="Y147" s="28" t="n">
        <v>28.94</v>
      </c>
      <c r="Z147" s="28" t="n">
        <f aca="false">X147*Y147</f>
        <v>11.576</v>
      </c>
    </row>
    <row r="148" customFormat="false" ht="15" hidden="false" customHeight="false" outlineLevel="0" collapsed="false">
      <c r="R148" s="1" t="s">
        <v>294</v>
      </c>
      <c r="V148" s="55" t="s">
        <v>292</v>
      </c>
      <c r="W148" s="56" t="n">
        <v>2</v>
      </c>
      <c r="X148" s="57" t="n">
        <f aca="false">W148*8/$T$144</f>
        <v>0.8</v>
      </c>
      <c r="Y148" s="28" t="n">
        <v>20.51</v>
      </c>
      <c r="Z148" s="28" t="n">
        <f aca="false">X148*Y148</f>
        <v>16.408</v>
      </c>
    </row>
    <row r="149" customFormat="false" ht="15" hidden="false" customHeight="false" outlineLevel="0" collapsed="false">
      <c r="Z149" s="53" t="n">
        <f aca="false">SUM(Z147:Z148)</f>
        <v>27.984</v>
      </c>
    </row>
    <row r="150" customFormat="false" ht="15" hidden="false" customHeight="false" outlineLevel="0" collapsed="false">
      <c r="R150" s="54" t="s">
        <v>295</v>
      </c>
    </row>
    <row r="151" customFormat="false" ht="15" hidden="false" customHeight="false" outlineLevel="0" collapsed="false">
      <c r="R151" s="1" t="s">
        <v>296</v>
      </c>
      <c r="V151" s="55" t="s">
        <v>297</v>
      </c>
      <c r="W151" s="56"/>
      <c r="X151" s="57" t="n">
        <v>1.25</v>
      </c>
      <c r="Y151" s="28" t="n">
        <v>2.64</v>
      </c>
      <c r="Z151" s="28" t="n">
        <f aca="false">X151*Y151</f>
        <v>3.3</v>
      </c>
    </row>
    <row r="152" customFormat="false" ht="15" hidden="false" customHeight="false" outlineLevel="0" collapsed="false">
      <c r="R152" s="1" t="s">
        <v>298</v>
      </c>
      <c r="V152" s="55" t="s">
        <v>299</v>
      </c>
      <c r="W152" s="56"/>
      <c r="X152" s="57" t="n">
        <v>0.85</v>
      </c>
      <c r="Y152" s="1" t="n">
        <v>14.15</v>
      </c>
      <c r="Z152" s="28" t="n">
        <f aca="false">X152*Y152</f>
        <v>12.0275</v>
      </c>
    </row>
    <row r="153" customFormat="false" ht="15" hidden="false" customHeight="false" outlineLevel="0" collapsed="false">
      <c r="R153" s="1" t="s">
        <v>300</v>
      </c>
      <c r="V153" s="55" t="s">
        <v>150</v>
      </c>
      <c r="W153" s="56"/>
      <c r="X153" s="57" t="n">
        <v>0.2</v>
      </c>
      <c r="Y153" s="1" t="n">
        <v>55</v>
      </c>
      <c r="Z153" s="28" t="n">
        <f aca="false">X153*Y153</f>
        <v>11</v>
      </c>
    </row>
    <row r="154" customFormat="false" ht="15" hidden="false" customHeight="false" outlineLevel="0" collapsed="false">
      <c r="R154" s="1" t="s">
        <v>301</v>
      </c>
      <c r="V154" s="55" t="s">
        <v>297</v>
      </c>
      <c r="X154" s="57" t="n">
        <v>0.04</v>
      </c>
      <c r="Y154" s="1" t="n">
        <v>10.93</v>
      </c>
      <c r="Z154" s="28" t="n">
        <f aca="false">X154*Y154</f>
        <v>0.4372</v>
      </c>
    </row>
    <row r="155" customFormat="false" ht="15" hidden="false" customHeight="false" outlineLevel="0" collapsed="false">
      <c r="R155" s="1" t="s">
        <v>302</v>
      </c>
      <c r="V155" s="55" t="s">
        <v>297</v>
      </c>
      <c r="X155" s="57" t="n">
        <v>0.071</v>
      </c>
      <c r="Y155" s="28" t="n">
        <v>5.51</v>
      </c>
      <c r="Z155" s="28" t="n">
        <f aca="false">X155*Y155</f>
        <v>0.39121</v>
      </c>
    </row>
    <row r="156" customFormat="false" ht="15" hidden="false" customHeight="false" outlineLevel="0" collapsed="false">
      <c r="R156" s="1" t="s">
        <v>303</v>
      </c>
      <c r="V156" s="55" t="s">
        <v>204</v>
      </c>
      <c r="X156" s="57" t="n">
        <v>0.19</v>
      </c>
      <c r="Y156" s="28" t="n">
        <v>70.92</v>
      </c>
      <c r="Z156" s="28" t="n">
        <f aca="false">X156*Y156</f>
        <v>13.4748</v>
      </c>
    </row>
    <row r="157" customFormat="false" ht="15" hidden="false" customHeight="false" outlineLevel="0" collapsed="false">
      <c r="R157" s="1" t="s">
        <v>304</v>
      </c>
      <c r="V157" s="55" t="s">
        <v>299</v>
      </c>
      <c r="X157" s="57" t="n">
        <v>0.53</v>
      </c>
      <c r="Y157" s="1" t="n">
        <v>27.88</v>
      </c>
      <c r="Z157" s="28" t="n">
        <f aca="false">X157*Y157</f>
        <v>14.7764</v>
      </c>
    </row>
    <row r="158" customFormat="false" ht="15" hidden="false" customHeight="false" outlineLevel="0" collapsed="false">
      <c r="R158" s="1" t="s">
        <v>305</v>
      </c>
      <c r="V158" s="55" t="s">
        <v>306</v>
      </c>
      <c r="X158" s="57" t="n">
        <v>0.2374</v>
      </c>
      <c r="Y158" s="1" t="n">
        <v>32.2</v>
      </c>
      <c r="Z158" s="28" t="n">
        <f aca="false">X158*Y158</f>
        <v>7.64428</v>
      </c>
    </row>
    <row r="159" customFormat="false" ht="15" hidden="false" customHeight="false" outlineLevel="0" collapsed="false">
      <c r="R159" s="1" t="s">
        <v>307</v>
      </c>
      <c r="V159" s="55" t="s">
        <v>308</v>
      </c>
      <c r="X159" s="57" t="n">
        <v>0.5</v>
      </c>
      <c r="Y159" s="28" t="n">
        <v>24.52</v>
      </c>
      <c r="Z159" s="28" t="n">
        <f aca="false">X159*Y159</f>
        <v>12.26</v>
      </c>
    </row>
    <row r="160" customFormat="false" ht="15" hidden="false" customHeight="false" outlineLevel="0" collapsed="false">
      <c r="R160" s="1" t="s">
        <v>309</v>
      </c>
      <c r="V160" s="55" t="s">
        <v>306</v>
      </c>
      <c r="X160" s="57" t="n">
        <v>3</v>
      </c>
      <c r="Y160" s="28" t="n">
        <v>5.8</v>
      </c>
      <c r="Z160" s="28" t="n">
        <f aca="false">X160*Y160</f>
        <v>17.4</v>
      </c>
    </row>
    <row r="161" customFormat="false" ht="15" hidden="false" customHeight="false" outlineLevel="0" collapsed="false">
      <c r="R161" s="1" t="s">
        <v>319</v>
      </c>
      <c r="V161" s="55" t="s">
        <v>150</v>
      </c>
      <c r="X161" s="57" t="n">
        <v>0.694</v>
      </c>
      <c r="Y161" s="28" t="n">
        <v>120</v>
      </c>
      <c r="Z161" s="28" t="n">
        <f aca="false">X161*Y161</f>
        <v>83.28</v>
      </c>
    </row>
    <row r="162" customFormat="false" ht="15" hidden="false" customHeight="false" outlineLevel="0" collapsed="false">
      <c r="R162" s="1" t="s">
        <v>320</v>
      </c>
      <c r="V162" s="55" t="s">
        <v>145</v>
      </c>
      <c r="X162" s="57" t="n">
        <v>1.042</v>
      </c>
      <c r="Y162" s="28" t="n">
        <v>25</v>
      </c>
      <c r="Z162" s="28" t="n">
        <f aca="false">X162*Y162</f>
        <v>26.05</v>
      </c>
    </row>
    <row r="163" customFormat="false" ht="15" hidden="false" customHeight="false" outlineLevel="0" collapsed="false">
      <c r="R163" s="1" t="s">
        <v>321</v>
      </c>
      <c r="V163" s="55" t="s">
        <v>150</v>
      </c>
      <c r="X163" s="57" t="n">
        <v>0.694</v>
      </c>
      <c r="Y163" s="28" t="n">
        <v>18</v>
      </c>
      <c r="Z163" s="28" t="n">
        <f aca="false">X163*Y163</f>
        <v>12.492</v>
      </c>
    </row>
    <row r="164" customFormat="false" ht="15" hidden="false" customHeight="false" outlineLevel="0" collapsed="false">
      <c r="R164" s="1" t="s">
        <v>322</v>
      </c>
      <c r="V164" s="55" t="s">
        <v>150</v>
      </c>
      <c r="X164" s="57" t="n">
        <v>0.139</v>
      </c>
      <c r="Y164" s="28" t="n">
        <v>15</v>
      </c>
      <c r="Z164" s="28" t="n">
        <f aca="false">X164*Y164</f>
        <v>2.085</v>
      </c>
    </row>
    <row r="165" customFormat="false" ht="15" hidden="false" customHeight="false" outlineLevel="0" collapsed="false">
      <c r="R165" s="1" t="s">
        <v>323</v>
      </c>
      <c r="V165" s="55" t="s">
        <v>150</v>
      </c>
      <c r="X165" s="57" t="n">
        <v>0.694</v>
      </c>
      <c r="Y165" s="28" t="n">
        <v>80</v>
      </c>
      <c r="Z165" s="28" t="n">
        <f aca="false">X165*Y165</f>
        <v>55.52</v>
      </c>
    </row>
    <row r="166" customFormat="false" ht="15" hidden="false" customHeight="false" outlineLevel="0" collapsed="false">
      <c r="R166" s="1" t="s">
        <v>324</v>
      </c>
      <c r="V166" s="55" t="s">
        <v>150</v>
      </c>
      <c r="X166" s="57" t="n">
        <v>0.694</v>
      </c>
      <c r="Y166" s="28" t="n">
        <v>40</v>
      </c>
      <c r="Z166" s="28" t="n">
        <f aca="false">X166*Y166</f>
        <v>27.76</v>
      </c>
    </row>
    <row r="167" customFormat="false" ht="15" hidden="false" customHeight="false" outlineLevel="0" collapsed="false">
      <c r="R167" s="1" t="s">
        <v>325</v>
      </c>
      <c r="V167" s="55" t="s">
        <v>150</v>
      </c>
      <c r="X167" s="57" t="n">
        <v>0.694</v>
      </c>
      <c r="Y167" s="28" t="n">
        <v>20</v>
      </c>
      <c r="Z167" s="28" t="n">
        <f aca="false">X167*Y167</f>
        <v>13.88</v>
      </c>
    </row>
    <row r="168" customFormat="false" ht="15" hidden="false" customHeight="false" outlineLevel="0" collapsed="false">
      <c r="R168" s="54" t="s">
        <v>310</v>
      </c>
      <c r="Z168" s="53" t="n">
        <f aca="false">SUM(Z151:Z167)</f>
        <v>313.77839</v>
      </c>
    </row>
    <row r="169" customFormat="false" ht="15" hidden="false" customHeight="false" outlineLevel="0" collapsed="false">
      <c r="R169" s="1" t="s">
        <v>311</v>
      </c>
      <c r="V169" s="55" t="s">
        <v>312</v>
      </c>
      <c r="X169" s="57" t="n">
        <v>5</v>
      </c>
      <c r="Y169" s="28" t="n">
        <f aca="false">Z149</f>
        <v>27.984</v>
      </c>
      <c r="Z169" s="28" t="n">
        <f aca="false">X169%*Y169</f>
        <v>1.3992</v>
      </c>
    </row>
    <row r="170" customFormat="false" ht="15" hidden="false" customHeight="false" outlineLevel="0" collapsed="false">
      <c r="Q170" s="60"/>
      <c r="R170" s="60"/>
      <c r="S170" s="60"/>
      <c r="T170" s="60"/>
      <c r="U170" s="60"/>
      <c r="V170" s="60"/>
      <c r="W170" s="60"/>
      <c r="X170" s="60"/>
      <c r="Y170" s="60"/>
      <c r="Z170" s="61" t="n">
        <f aca="false">SUM(Z169)</f>
        <v>1.3992</v>
      </c>
    </row>
    <row r="172" customFormat="false" ht="15" hidden="false" customHeight="false" outlineLevel="0" collapsed="false">
      <c r="Q172" s="14" t="s">
        <v>278</v>
      </c>
      <c r="R172" s="14"/>
      <c r="S172" s="14" t="s">
        <v>149</v>
      </c>
      <c r="T172" s="14"/>
      <c r="U172" s="14"/>
      <c r="V172" s="14"/>
      <c r="W172" s="14"/>
      <c r="X172" s="14"/>
      <c r="Y172" s="14"/>
    </row>
    <row r="173" customFormat="false" ht="15" hidden="false" customHeight="false" outlineLevel="0" collapsed="false">
      <c r="Q173" s="14" t="s">
        <v>279</v>
      </c>
      <c r="R173" s="14" t="s">
        <v>326</v>
      </c>
      <c r="S173" s="36" t="s">
        <v>281</v>
      </c>
      <c r="T173" s="52" t="n">
        <v>1</v>
      </c>
      <c r="U173" s="36" t="s">
        <v>282</v>
      </c>
      <c r="V173" s="52" t="n">
        <f aca="false">T173</f>
        <v>1</v>
      </c>
      <c r="W173" s="14" t="s">
        <v>283</v>
      </c>
      <c r="Y173" s="36" t="s">
        <v>150</v>
      </c>
      <c r="Z173" s="53" t="n">
        <f aca="false">Z179+Z190+Z193</f>
        <v>1453.77752</v>
      </c>
    </row>
    <row r="174" customFormat="false" ht="15" hidden="false" customHeight="false" outlineLevel="0" collapsed="false">
      <c r="Q174" s="14" t="s">
        <v>284</v>
      </c>
      <c r="R174" s="14" t="s">
        <v>285</v>
      </c>
      <c r="V174" s="36" t="s">
        <v>123</v>
      </c>
      <c r="W174" s="36" t="s">
        <v>286</v>
      </c>
      <c r="X174" s="36" t="s">
        <v>287</v>
      </c>
      <c r="Y174" s="36" t="s">
        <v>288</v>
      </c>
      <c r="Z174" s="36" t="s">
        <v>289</v>
      </c>
    </row>
    <row r="175" customFormat="false" ht="15" hidden="false" customHeight="false" outlineLevel="0" collapsed="false">
      <c r="R175" s="54" t="s">
        <v>290</v>
      </c>
    </row>
    <row r="176" customFormat="false" ht="15" hidden="false" customHeight="false" outlineLevel="0" collapsed="false">
      <c r="R176" s="1" t="s">
        <v>291</v>
      </c>
      <c r="V176" s="55" t="s">
        <v>292</v>
      </c>
      <c r="W176" s="56" t="n">
        <v>1</v>
      </c>
      <c r="X176" s="57" t="n">
        <f aca="false">W176*8/$T$173</f>
        <v>8</v>
      </c>
      <c r="Y176" s="28" t="n">
        <v>28.94</v>
      </c>
      <c r="Z176" s="28" t="n">
        <f aca="false">X176*Y176</f>
        <v>231.52</v>
      </c>
    </row>
    <row r="177" customFormat="false" ht="15" hidden="false" customHeight="false" outlineLevel="0" collapsed="false">
      <c r="R177" s="1" t="s">
        <v>293</v>
      </c>
      <c r="V177" s="55" t="s">
        <v>292</v>
      </c>
      <c r="W177" s="56" t="n">
        <v>0.5</v>
      </c>
      <c r="X177" s="57" t="n">
        <f aca="false">W177*8/$T$173</f>
        <v>4</v>
      </c>
      <c r="Y177" s="28" t="n">
        <v>22.66</v>
      </c>
      <c r="Z177" s="28" t="n">
        <f aca="false">X177*Y177</f>
        <v>90.64</v>
      </c>
    </row>
    <row r="178" customFormat="false" ht="15" hidden="false" customHeight="false" outlineLevel="0" collapsed="false">
      <c r="R178" s="1" t="s">
        <v>294</v>
      </c>
      <c r="V178" s="55" t="s">
        <v>292</v>
      </c>
      <c r="W178" s="56" t="n">
        <v>1</v>
      </c>
      <c r="X178" s="57" t="n">
        <f aca="false">W178*8/$T$173</f>
        <v>8</v>
      </c>
      <c r="Y178" s="28" t="n">
        <v>20.51</v>
      </c>
      <c r="Z178" s="28" t="n">
        <f aca="false">X178*Y178</f>
        <v>164.08</v>
      </c>
    </row>
    <row r="179" customFormat="false" ht="15" hidden="false" customHeight="false" outlineLevel="0" collapsed="false">
      <c r="Z179" s="53" t="n">
        <f aca="false">SUM(Z176:Z178)</f>
        <v>486.24</v>
      </c>
    </row>
    <row r="180" customFormat="false" ht="15" hidden="false" customHeight="false" outlineLevel="0" collapsed="false">
      <c r="R180" s="54" t="s">
        <v>295</v>
      </c>
    </row>
    <row r="181" customFormat="false" ht="15" hidden="false" customHeight="false" outlineLevel="0" collapsed="false">
      <c r="R181" s="1" t="s">
        <v>327</v>
      </c>
      <c r="V181" s="55" t="s">
        <v>150</v>
      </c>
      <c r="W181" s="56"/>
      <c r="X181" s="57" t="n">
        <v>1</v>
      </c>
      <c r="Y181" s="28" t="n">
        <v>355.93</v>
      </c>
      <c r="Z181" s="28" t="n">
        <f aca="false">X181*Y181</f>
        <v>355.93</v>
      </c>
    </row>
    <row r="182" customFormat="false" ht="15" hidden="false" customHeight="false" outlineLevel="0" collapsed="false">
      <c r="R182" s="1" t="s">
        <v>302</v>
      </c>
      <c r="V182" s="55" t="s">
        <v>297</v>
      </c>
      <c r="X182" s="57" t="n">
        <v>1.4</v>
      </c>
      <c r="Y182" s="28" t="n">
        <v>5.51</v>
      </c>
      <c r="Z182" s="28" t="n">
        <f aca="false">X182*Y182</f>
        <v>7.714</v>
      </c>
    </row>
    <row r="183" customFormat="false" ht="15" hidden="false" customHeight="false" outlineLevel="0" collapsed="false">
      <c r="R183" s="1" t="s">
        <v>303</v>
      </c>
      <c r="V183" s="55" t="s">
        <v>204</v>
      </c>
      <c r="X183" s="57" t="n">
        <v>0.252</v>
      </c>
      <c r="Y183" s="28" t="n">
        <v>70.92</v>
      </c>
      <c r="Z183" s="28" t="n">
        <f aca="false">X183*Y183</f>
        <v>17.87184</v>
      </c>
    </row>
    <row r="184" customFormat="false" ht="15" hidden="false" customHeight="false" outlineLevel="0" collapsed="false">
      <c r="R184" s="1" t="s">
        <v>328</v>
      </c>
      <c r="V184" s="1" t="s">
        <v>150</v>
      </c>
      <c r="X184" s="1" t="n">
        <v>10</v>
      </c>
      <c r="Y184" s="1" t="n">
        <v>3.9</v>
      </c>
      <c r="Z184" s="28" t="n">
        <f aca="false">X184*Y184</f>
        <v>39</v>
      </c>
    </row>
    <row r="185" customFormat="false" ht="15" hidden="false" customHeight="false" outlineLevel="0" collapsed="false">
      <c r="R185" s="1" t="s">
        <v>329</v>
      </c>
      <c r="V185" s="55" t="s">
        <v>204</v>
      </c>
      <c r="X185" s="1" t="n">
        <v>0.252</v>
      </c>
      <c r="Y185" s="1" t="n">
        <v>80</v>
      </c>
      <c r="Z185" s="28" t="n">
        <f aca="false">X185*Y185</f>
        <v>20.16</v>
      </c>
    </row>
    <row r="186" customFormat="false" ht="15" hidden="false" customHeight="false" outlineLevel="0" collapsed="false">
      <c r="R186" s="1" t="s">
        <v>330</v>
      </c>
      <c r="V186" s="1" t="s">
        <v>331</v>
      </c>
      <c r="X186" s="1" t="n">
        <v>2</v>
      </c>
      <c r="Y186" s="1" t="n">
        <v>44.83</v>
      </c>
      <c r="Z186" s="28" t="n">
        <f aca="false">X186*Y186</f>
        <v>89.66</v>
      </c>
    </row>
    <row r="187" customFormat="false" ht="15" hidden="false" customHeight="false" outlineLevel="0" collapsed="false">
      <c r="R187" s="1" t="s">
        <v>304</v>
      </c>
      <c r="V187" s="55" t="s">
        <v>299</v>
      </c>
      <c r="X187" s="57" t="n">
        <v>3</v>
      </c>
      <c r="Y187" s="1" t="n">
        <v>27.88</v>
      </c>
      <c r="Z187" s="28" t="n">
        <f aca="false">X187*Y187</f>
        <v>83.64</v>
      </c>
    </row>
    <row r="188" customFormat="false" ht="15" hidden="false" customHeight="false" outlineLevel="0" collapsed="false">
      <c r="R188" s="1" t="s">
        <v>307</v>
      </c>
      <c r="V188" s="55" t="s">
        <v>308</v>
      </c>
      <c r="X188" s="57" t="n">
        <v>2.334</v>
      </c>
      <c r="Y188" s="28" t="n">
        <v>24.52</v>
      </c>
      <c r="Z188" s="28" t="n">
        <f aca="false">X188*Y188</f>
        <v>57.22968</v>
      </c>
    </row>
    <row r="189" customFormat="false" ht="15" hidden="false" customHeight="false" outlineLevel="0" collapsed="false">
      <c r="R189" s="1" t="s">
        <v>309</v>
      </c>
      <c r="V189" s="55" t="s">
        <v>306</v>
      </c>
      <c r="X189" s="57" t="n">
        <v>46.9</v>
      </c>
      <c r="Y189" s="28" t="n">
        <v>5.8</v>
      </c>
      <c r="Z189" s="28" t="n">
        <f aca="false">X189*Y189</f>
        <v>272.02</v>
      </c>
    </row>
    <row r="190" customFormat="false" ht="15" hidden="false" customHeight="false" outlineLevel="0" collapsed="false">
      <c r="V190" s="55"/>
      <c r="X190" s="57"/>
      <c r="Y190" s="28"/>
      <c r="Z190" s="53" t="n">
        <f aca="false">SUM(Z181:Z189)</f>
        <v>943.22552</v>
      </c>
    </row>
    <row r="191" customFormat="false" ht="15" hidden="false" customHeight="false" outlineLevel="0" collapsed="false">
      <c r="R191" s="54" t="s">
        <v>310</v>
      </c>
    </row>
    <row r="192" customFormat="false" ht="15" hidden="false" customHeight="false" outlineLevel="0" collapsed="false">
      <c r="R192" s="1" t="s">
        <v>311</v>
      </c>
      <c r="V192" s="55" t="s">
        <v>312</v>
      </c>
      <c r="X192" s="57" t="n">
        <v>5</v>
      </c>
      <c r="Y192" s="28" t="n">
        <f aca="false">Z179</f>
        <v>486.24</v>
      </c>
      <c r="Z192" s="28" t="n">
        <f aca="false">X192%*Y192</f>
        <v>24.312</v>
      </c>
    </row>
    <row r="193" customFormat="false" ht="15" hidden="false" customHeight="false" outlineLevel="0" collapsed="false">
      <c r="Q193" s="60"/>
      <c r="R193" s="60"/>
      <c r="S193" s="60"/>
      <c r="T193" s="60"/>
      <c r="U193" s="60"/>
      <c r="V193" s="60"/>
      <c r="W193" s="60"/>
      <c r="X193" s="60"/>
      <c r="Y193" s="60"/>
      <c r="Z193" s="61" t="n">
        <f aca="false">SUM(Z192)</f>
        <v>24.312</v>
      </c>
    </row>
    <row r="195" customFormat="false" ht="15" hidden="false" customHeight="false" outlineLevel="0" collapsed="false">
      <c r="Q195" s="14" t="s">
        <v>278</v>
      </c>
      <c r="R195" s="14"/>
      <c r="S195" s="14" t="s">
        <v>1251</v>
      </c>
      <c r="T195" s="14"/>
      <c r="U195" s="14"/>
      <c r="V195" s="14"/>
      <c r="W195" s="14"/>
      <c r="X195" s="14"/>
      <c r="Y195" s="14"/>
    </row>
    <row r="196" customFormat="false" ht="15" hidden="false" customHeight="false" outlineLevel="0" collapsed="false">
      <c r="Q196" s="14" t="s">
        <v>279</v>
      </c>
      <c r="R196" s="14" t="s">
        <v>326</v>
      </c>
      <c r="S196" s="36" t="s">
        <v>281</v>
      </c>
      <c r="T196" s="52" t="n">
        <v>1</v>
      </c>
      <c r="U196" s="36" t="s">
        <v>282</v>
      </c>
      <c r="V196" s="52" t="n">
        <f aca="false">T196</f>
        <v>1</v>
      </c>
      <c r="W196" s="14" t="s">
        <v>283</v>
      </c>
      <c r="Y196" s="36" t="s">
        <v>150</v>
      </c>
      <c r="Z196" s="53" t="n">
        <f aca="false">Z202+Z207+Z210</f>
        <v>2603.6396</v>
      </c>
    </row>
    <row r="197" customFormat="false" ht="15" hidden="false" customHeight="false" outlineLevel="0" collapsed="false">
      <c r="Q197" s="14" t="s">
        <v>284</v>
      </c>
      <c r="R197" s="14" t="s">
        <v>285</v>
      </c>
      <c r="V197" s="36" t="s">
        <v>123</v>
      </c>
      <c r="W197" s="36" t="s">
        <v>286</v>
      </c>
      <c r="X197" s="36" t="s">
        <v>287</v>
      </c>
      <c r="Y197" s="36" t="s">
        <v>288</v>
      </c>
      <c r="Z197" s="36" t="s">
        <v>289</v>
      </c>
    </row>
    <row r="198" customFormat="false" ht="15" hidden="false" customHeight="false" outlineLevel="0" collapsed="false">
      <c r="R198" s="54" t="s">
        <v>290</v>
      </c>
    </row>
    <row r="199" customFormat="false" ht="15" hidden="false" customHeight="false" outlineLevel="0" collapsed="false">
      <c r="R199" s="1" t="s">
        <v>291</v>
      </c>
      <c r="V199" s="55" t="s">
        <v>292</v>
      </c>
      <c r="W199" s="56" t="n">
        <v>1</v>
      </c>
      <c r="X199" s="57" t="n">
        <f aca="false">W199*8/$T$196</f>
        <v>8</v>
      </c>
      <c r="Y199" s="28" t="n">
        <v>28.94</v>
      </c>
      <c r="Z199" s="28" t="n">
        <f aca="false">X199*Y199</f>
        <v>231.52</v>
      </c>
    </row>
    <row r="200" customFormat="false" ht="15" hidden="false" customHeight="false" outlineLevel="0" collapsed="false">
      <c r="R200" s="1" t="s">
        <v>293</v>
      </c>
      <c r="V200" s="55" t="s">
        <v>292</v>
      </c>
      <c r="W200" s="56" t="n">
        <v>2</v>
      </c>
      <c r="X200" s="57" t="n">
        <f aca="false">W200*8/$T$196</f>
        <v>16</v>
      </c>
      <c r="Y200" s="28" t="n">
        <v>22.66</v>
      </c>
      <c r="Z200" s="28" t="n">
        <f aca="false">X200*Y200</f>
        <v>362.56</v>
      </c>
    </row>
    <row r="201" customFormat="false" ht="15" hidden="false" customHeight="false" outlineLevel="0" collapsed="false">
      <c r="R201" s="1" t="s">
        <v>294</v>
      </c>
      <c r="V201" s="55" t="s">
        <v>292</v>
      </c>
      <c r="W201" s="56" t="n">
        <v>3</v>
      </c>
      <c r="X201" s="57" t="n">
        <f aca="false">W201*8/$T$196</f>
        <v>24</v>
      </c>
      <c r="Y201" s="28" t="n">
        <v>20.51</v>
      </c>
      <c r="Z201" s="28" t="n">
        <f aca="false">X201*Y201</f>
        <v>492.24</v>
      </c>
    </row>
    <row r="202" customFormat="false" ht="15" hidden="false" customHeight="false" outlineLevel="0" collapsed="false">
      <c r="Z202" s="53" t="n">
        <f aca="false">SUM(Z199:Z201)</f>
        <v>1086.32</v>
      </c>
    </row>
    <row r="203" customFormat="false" ht="15" hidden="false" customHeight="false" outlineLevel="0" collapsed="false">
      <c r="R203" s="54" t="s">
        <v>295</v>
      </c>
    </row>
    <row r="204" customFormat="false" ht="15" hidden="false" customHeight="false" outlineLevel="0" collapsed="false">
      <c r="R204" s="1" t="s">
        <v>1252</v>
      </c>
      <c r="V204" s="55" t="s">
        <v>316</v>
      </c>
      <c r="W204" s="56"/>
      <c r="X204" s="57" t="n">
        <v>18</v>
      </c>
      <c r="Y204" s="28" t="n">
        <v>29.66</v>
      </c>
      <c r="Z204" s="28" t="n">
        <f aca="false">X204*Y204</f>
        <v>533.88</v>
      </c>
    </row>
    <row r="205" customFormat="false" ht="15" hidden="false" customHeight="false" outlineLevel="0" collapsed="false">
      <c r="R205" s="1" t="s">
        <v>1253</v>
      </c>
      <c r="V205" s="55" t="s">
        <v>155</v>
      </c>
      <c r="W205" s="56"/>
      <c r="X205" s="57" t="n">
        <v>1</v>
      </c>
      <c r="Y205" s="28" t="n">
        <v>423.73</v>
      </c>
      <c r="Z205" s="28" t="n">
        <f aca="false">X205*Y205</f>
        <v>423.73</v>
      </c>
    </row>
    <row r="206" customFormat="false" ht="15" hidden="false" customHeight="false" outlineLevel="0" collapsed="false">
      <c r="R206" s="1" t="s">
        <v>1254</v>
      </c>
      <c r="V206" s="55" t="s">
        <v>150</v>
      </c>
      <c r="X206" s="57" t="n">
        <v>1</v>
      </c>
      <c r="Y206" s="28" t="n">
        <v>527.12</v>
      </c>
      <c r="Z206" s="28" t="n">
        <f aca="false">X206*Y206</f>
        <v>527.12</v>
      </c>
    </row>
    <row r="207" customFormat="false" ht="15" hidden="false" customHeight="false" outlineLevel="0" collapsed="false">
      <c r="Z207" s="53" t="n">
        <f aca="false">SUM(Z204:Z206)</f>
        <v>1484.73</v>
      </c>
    </row>
    <row r="208" customFormat="false" ht="15" hidden="false" customHeight="false" outlineLevel="0" collapsed="false">
      <c r="R208" s="54" t="s">
        <v>318</v>
      </c>
    </row>
    <row r="209" customFormat="false" ht="15" hidden="false" customHeight="false" outlineLevel="0" collapsed="false">
      <c r="R209" s="1" t="s">
        <v>311</v>
      </c>
      <c r="V209" s="55" t="s">
        <v>312</v>
      </c>
      <c r="X209" s="57" t="n">
        <v>3</v>
      </c>
      <c r="Y209" s="28" t="n">
        <f aca="false">Z202</f>
        <v>1086.32</v>
      </c>
      <c r="Z209" s="28" t="n">
        <f aca="false">X209%*Y209</f>
        <v>32.5896</v>
      </c>
    </row>
    <row r="210" customFormat="false" ht="15" hidden="false" customHeight="false" outlineLevel="0" collapsed="false">
      <c r="Q210" s="60"/>
      <c r="R210" s="60"/>
      <c r="S210" s="60"/>
      <c r="T210" s="60"/>
      <c r="U210" s="60"/>
      <c r="V210" s="62"/>
      <c r="W210" s="63"/>
      <c r="X210" s="64"/>
      <c r="Y210" s="65"/>
      <c r="Z210" s="61" t="n">
        <f aca="false">SUM(Z209)</f>
        <v>32.5896</v>
      </c>
    </row>
    <row r="212" customFormat="false" ht="15" hidden="false" customHeight="false" outlineLevel="0" collapsed="false">
      <c r="Q212" s="14" t="s">
        <v>334</v>
      </c>
      <c r="R212" s="14"/>
      <c r="S212" s="14" t="s">
        <v>1255</v>
      </c>
      <c r="T212" s="14"/>
      <c r="U212" s="14"/>
      <c r="V212" s="14"/>
      <c r="W212" s="14"/>
      <c r="X212" s="14"/>
      <c r="Y212" s="14"/>
    </row>
    <row r="213" customFormat="false" ht="15" hidden="false" customHeight="false" outlineLevel="0" collapsed="false">
      <c r="Q213" s="14" t="s">
        <v>279</v>
      </c>
      <c r="R213" s="14" t="s">
        <v>326</v>
      </c>
      <c r="S213" s="36" t="s">
        <v>281</v>
      </c>
      <c r="T213" s="52" t="n">
        <v>1</v>
      </c>
      <c r="U213" s="36" t="s">
        <v>282</v>
      </c>
      <c r="V213" s="52" t="n">
        <f aca="false">T213</f>
        <v>1</v>
      </c>
      <c r="W213" s="14" t="s">
        <v>283</v>
      </c>
      <c r="Y213" s="36" t="s">
        <v>150</v>
      </c>
      <c r="Z213" s="53" t="n">
        <f aca="false">Z217</f>
        <v>322.03</v>
      </c>
    </row>
    <row r="214" customFormat="false" ht="15" hidden="false" customHeight="false" outlineLevel="0" collapsed="false">
      <c r="Q214" s="14" t="s">
        <v>284</v>
      </c>
      <c r="R214" s="14" t="s">
        <v>285</v>
      </c>
      <c r="V214" s="36" t="s">
        <v>123</v>
      </c>
      <c r="W214" s="36" t="s">
        <v>286</v>
      </c>
      <c r="X214" s="36" t="s">
        <v>287</v>
      </c>
      <c r="Y214" s="36" t="s">
        <v>288</v>
      </c>
      <c r="Z214" s="36" t="s">
        <v>289</v>
      </c>
    </row>
    <row r="215" customFormat="false" ht="15" hidden="false" customHeight="false" outlineLevel="0" collapsed="false">
      <c r="R215" s="54" t="s">
        <v>654</v>
      </c>
    </row>
    <row r="216" customFormat="false" ht="15" hidden="false" customHeight="false" outlineLevel="0" collapsed="false">
      <c r="R216" s="14" t="s">
        <v>1255</v>
      </c>
      <c r="V216" s="55" t="s">
        <v>155</v>
      </c>
      <c r="W216" s="56"/>
      <c r="X216" s="57" t="n">
        <v>1</v>
      </c>
      <c r="Y216" s="28" t="n">
        <v>322.03</v>
      </c>
      <c r="Z216" s="28" t="n">
        <f aca="false">X216*Y216</f>
        <v>322.03</v>
      </c>
    </row>
    <row r="217" customFormat="false" ht="15" hidden="false" customHeight="false" outlineLevel="0" collapsed="false">
      <c r="Q217" s="60"/>
      <c r="R217" s="60"/>
      <c r="S217" s="60"/>
      <c r="T217" s="60"/>
      <c r="U217" s="60"/>
      <c r="V217" s="60"/>
      <c r="W217" s="60"/>
      <c r="X217" s="60"/>
      <c r="Y217" s="60"/>
      <c r="Z217" s="61" t="n">
        <f aca="false">SUM(Z216)</f>
        <v>322.03</v>
      </c>
    </row>
    <row r="219" customFormat="false" ht="15" hidden="false" customHeight="false" outlineLevel="0" collapsed="false">
      <c r="Q219" s="14" t="s">
        <v>334</v>
      </c>
      <c r="R219" s="14"/>
      <c r="S219" s="14" t="s">
        <v>1256</v>
      </c>
      <c r="T219" s="14"/>
      <c r="U219" s="14"/>
      <c r="V219" s="14"/>
      <c r="W219" s="14"/>
      <c r="X219" s="14"/>
      <c r="Y219" s="14"/>
    </row>
    <row r="220" customFormat="false" ht="15" hidden="false" customHeight="false" outlineLevel="0" collapsed="false">
      <c r="Q220" s="14" t="s">
        <v>279</v>
      </c>
      <c r="R220" s="14" t="s">
        <v>326</v>
      </c>
      <c r="S220" s="36" t="s">
        <v>281</v>
      </c>
      <c r="T220" s="52" t="n">
        <v>1</v>
      </c>
      <c r="U220" s="36" t="s">
        <v>282</v>
      </c>
      <c r="V220" s="52" t="n">
        <f aca="false">T220</f>
        <v>1</v>
      </c>
      <c r="W220" s="14" t="s">
        <v>283</v>
      </c>
      <c r="Y220" s="36" t="s">
        <v>150</v>
      </c>
      <c r="Z220" s="53" t="n">
        <f aca="false">Z224</f>
        <v>215.25</v>
      </c>
    </row>
    <row r="221" customFormat="false" ht="15" hidden="false" customHeight="false" outlineLevel="0" collapsed="false">
      <c r="Q221" s="14" t="s">
        <v>284</v>
      </c>
      <c r="R221" s="14" t="s">
        <v>285</v>
      </c>
      <c r="V221" s="36" t="s">
        <v>123</v>
      </c>
      <c r="W221" s="36" t="s">
        <v>286</v>
      </c>
      <c r="X221" s="36" t="s">
        <v>287</v>
      </c>
      <c r="Y221" s="36" t="s">
        <v>288</v>
      </c>
      <c r="Z221" s="36" t="s">
        <v>289</v>
      </c>
    </row>
    <row r="222" customFormat="false" ht="15" hidden="false" customHeight="false" outlineLevel="0" collapsed="false">
      <c r="R222" s="54" t="s">
        <v>654</v>
      </c>
    </row>
    <row r="223" customFormat="false" ht="15" hidden="false" customHeight="false" outlineLevel="0" collapsed="false">
      <c r="R223" s="14" t="s">
        <v>1256</v>
      </c>
      <c r="V223" s="55" t="s">
        <v>150</v>
      </c>
      <c r="W223" s="56"/>
      <c r="X223" s="57" t="n">
        <v>1</v>
      </c>
      <c r="Y223" s="28" t="n">
        <v>215.25</v>
      </c>
      <c r="Z223" s="28" t="n">
        <f aca="false">X223*Y223</f>
        <v>215.25</v>
      </c>
    </row>
    <row r="224" customFormat="false" ht="15" hidden="false" customHeight="false" outlineLevel="0" collapsed="false">
      <c r="Q224" s="60"/>
      <c r="R224" s="60"/>
      <c r="S224" s="60"/>
      <c r="T224" s="60"/>
      <c r="U224" s="60"/>
      <c r="V224" s="60"/>
      <c r="W224" s="60"/>
      <c r="X224" s="60"/>
      <c r="Y224" s="60"/>
      <c r="Z224" s="61" t="n">
        <f aca="false">SUM(Z223)</f>
        <v>215.25</v>
      </c>
    </row>
    <row r="226" customFormat="false" ht="15" hidden="false" customHeight="false" outlineLevel="0" collapsed="false">
      <c r="Q226" s="14" t="s">
        <v>334</v>
      </c>
      <c r="R226" s="14"/>
      <c r="S226" s="14" t="s">
        <v>1257</v>
      </c>
      <c r="T226" s="14"/>
      <c r="U226" s="14"/>
      <c r="V226" s="14"/>
      <c r="W226" s="14"/>
      <c r="X226" s="14"/>
      <c r="Y226" s="14"/>
    </row>
    <row r="227" customFormat="false" ht="15" hidden="false" customHeight="false" outlineLevel="0" collapsed="false">
      <c r="Q227" s="14" t="s">
        <v>279</v>
      </c>
      <c r="R227" s="14" t="s">
        <v>332</v>
      </c>
      <c r="S227" s="36" t="s">
        <v>281</v>
      </c>
      <c r="T227" s="52" t="n">
        <v>1</v>
      </c>
      <c r="U227" s="36" t="s">
        <v>282</v>
      </c>
      <c r="V227" s="52" t="n">
        <f aca="false">T227</f>
        <v>1</v>
      </c>
      <c r="W227" s="14" t="s">
        <v>283</v>
      </c>
      <c r="Y227" s="36" t="s">
        <v>155</v>
      </c>
      <c r="Z227" s="53" t="n">
        <f aca="false">Z231</f>
        <v>254.24</v>
      </c>
    </row>
    <row r="228" customFormat="false" ht="15" hidden="false" customHeight="false" outlineLevel="0" collapsed="false">
      <c r="Q228" s="14" t="s">
        <v>284</v>
      </c>
      <c r="R228" s="14" t="s">
        <v>285</v>
      </c>
      <c r="V228" s="36" t="s">
        <v>123</v>
      </c>
      <c r="W228" s="36" t="s">
        <v>286</v>
      </c>
      <c r="X228" s="36" t="s">
        <v>287</v>
      </c>
      <c r="Y228" s="36" t="s">
        <v>288</v>
      </c>
      <c r="Z228" s="36" t="s">
        <v>289</v>
      </c>
    </row>
    <row r="229" customFormat="false" ht="15" hidden="false" customHeight="false" outlineLevel="0" collapsed="false">
      <c r="R229" s="54" t="s">
        <v>654</v>
      </c>
    </row>
    <row r="230" customFormat="false" ht="15" hidden="false" customHeight="false" outlineLevel="0" collapsed="false">
      <c r="R230" s="14" t="s">
        <v>1257</v>
      </c>
      <c r="V230" s="55" t="s">
        <v>155</v>
      </c>
      <c r="W230" s="56"/>
      <c r="X230" s="57" t="n">
        <v>1</v>
      </c>
      <c r="Y230" s="28" t="n">
        <v>254.24</v>
      </c>
      <c r="Z230" s="28" t="n">
        <f aca="false">X230*Y230</f>
        <v>254.24</v>
      </c>
    </row>
    <row r="231" customFormat="false" ht="15" hidden="false" customHeight="false" outlineLevel="0" collapsed="false">
      <c r="Q231" s="60"/>
      <c r="R231" s="60"/>
      <c r="S231" s="60"/>
      <c r="T231" s="60"/>
      <c r="U231" s="60"/>
      <c r="V231" s="60"/>
      <c r="W231" s="60"/>
      <c r="X231" s="60"/>
      <c r="Y231" s="60"/>
      <c r="Z231" s="61" t="n">
        <f aca="false">SUM(Z230)</f>
        <v>254.24</v>
      </c>
    </row>
    <row r="233" customFormat="false" ht="15" hidden="false" customHeight="false" outlineLevel="0" collapsed="false">
      <c r="Q233" s="14" t="s">
        <v>334</v>
      </c>
      <c r="R233" s="14"/>
      <c r="S233" s="14" t="s">
        <v>1258</v>
      </c>
      <c r="T233" s="14"/>
      <c r="U233" s="14"/>
      <c r="V233" s="14"/>
      <c r="W233" s="14"/>
      <c r="X233" s="14"/>
      <c r="Y233" s="14"/>
    </row>
    <row r="234" customFormat="false" ht="15" hidden="false" customHeight="false" outlineLevel="0" collapsed="false">
      <c r="Q234" s="14" t="s">
        <v>279</v>
      </c>
      <c r="R234" s="14" t="s">
        <v>332</v>
      </c>
      <c r="S234" s="36" t="s">
        <v>281</v>
      </c>
      <c r="T234" s="52" t="n">
        <v>1</v>
      </c>
      <c r="U234" s="36" t="s">
        <v>282</v>
      </c>
      <c r="V234" s="52" t="n">
        <f aca="false">T234</f>
        <v>1</v>
      </c>
      <c r="W234" s="14" t="s">
        <v>283</v>
      </c>
      <c r="Y234" s="36" t="s">
        <v>155</v>
      </c>
      <c r="Z234" s="53" t="n">
        <f aca="false">Z238</f>
        <v>84.75</v>
      </c>
    </row>
    <row r="235" customFormat="false" ht="15" hidden="false" customHeight="false" outlineLevel="0" collapsed="false">
      <c r="Q235" s="14" t="s">
        <v>284</v>
      </c>
      <c r="R235" s="14" t="s">
        <v>285</v>
      </c>
      <c r="V235" s="36" t="s">
        <v>123</v>
      </c>
      <c r="W235" s="36" t="s">
        <v>286</v>
      </c>
      <c r="X235" s="36" t="s">
        <v>287</v>
      </c>
      <c r="Y235" s="36" t="s">
        <v>288</v>
      </c>
      <c r="Z235" s="36" t="s">
        <v>289</v>
      </c>
    </row>
    <row r="236" customFormat="false" ht="15" hidden="false" customHeight="false" outlineLevel="0" collapsed="false">
      <c r="R236" s="54" t="s">
        <v>654</v>
      </c>
    </row>
    <row r="237" customFormat="false" ht="15" hidden="false" customHeight="false" outlineLevel="0" collapsed="false">
      <c r="R237" s="14" t="s">
        <v>1258</v>
      </c>
      <c r="V237" s="55" t="s">
        <v>155</v>
      </c>
      <c r="W237" s="56"/>
      <c r="X237" s="57" t="n">
        <v>1</v>
      </c>
      <c r="Y237" s="28" t="n">
        <v>84.75</v>
      </c>
      <c r="Z237" s="28" t="n">
        <f aca="false">X237*Y237</f>
        <v>84.75</v>
      </c>
    </row>
    <row r="238" customFormat="false" ht="15" hidden="false" customHeight="false" outlineLevel="0" collapsed="false">
      <c r="Q238" s="60"/>
      <c r="R238" s="60"/>
      <c r="S238" s="60"/>
      <c r="T238" s="60"/>
      <c r="U238" s="60"/>
      <c r="V238" s="60"/>
      <c r="W238" s="60"/>
      <c r="X238" s="60"/>
      <c r="Y238" s="60"/>
      <c r="Z238" s="61" t="n">
        <f aca="false">SUM(Z237)</f>
        <v>84.75</v>
      </c>
    </row>
    <row r="240" customFormat="false" ht="15" hidden="false" customHeight="false" outlineLevel="0" collapsed="false">
      <c r="Q240" s="14" t="s">
        <v>334</v>
      </c>
      <c r="R240" s="14"/>
      <c r="S240" s="14" t="s">
        <v>1259</v>
      </c>
      <c r="T240" s="14"/>
      <c r="U240" s="14"/>
      <c r="V240" s="14"/>
      <c r="W240" s="14"/>
      <c r="X240" s="14"/>
      <c r="Y240" s="14"/>
    </row>
    <row r="241" customFormat="false" ht="15" hidden="false" customHeight="false" outlineLevel="0" collapsed="false">
      <c r="Q241" s="14" t="s">
        <v>279</v>
      </c>
      <c r="R241" s="14" t="s">
        <v>332</v>
      </c>
      <c r="S241" s="36" t="s">
        <v>281</v>
      </c>
      <c r="T241" s="52" t="n">
        <v>1</v>
      </c>
      <c r="U241" s="36" t="s">
        <v>282</v>
      </c>
      <c r="V241" s="52" t="n">
        <f aca="false">T241</f>
        <v>1</v>
      </c>
      <c r="W241" s="14" t="s">
        <v>283</v>
      </c>
      <c r="Y241" s="36" t="s">
        <v>155</v>
      </c>
      <c r="Z241" s="53" t="n">
        <f aca="false">Z245</f>
        <v>101.69</v>
      </c>
    </row>
    <row r="242" customFormat="false" ht="15" hidden="false" customHeight="false" outlineLevel="0" collapsed="false">
      <c r="Q242" s="14" t="s">
        <v>284</v>
      </c>
      <c r="R242" s="14" t="s">
        <v>285</v>
      </c>
      <c r="V242" s="36" t="s">
        <v>123</v>
      </c>
      <c r="W242" s="36" t="s">
        <v>286</v>
      </c>
      <c r="X242" s="36" t="s">
        <v>287</v>
      </c>
      <c r="Y242" s="36" t="s">
        <v>288</v>
      </c>
      <c r="Z242" s="36" t="s">
        <v>289</v>
      </c>
    </row>
    <row r="243" customFormat="false" ht="15" hidden="false" customHeight="false" outlineLevel="0" collapsed="false">
      <c r="R243" s="54" t="s">
        <v>654</v>
      </c>
    </row>
    <row r="244" customFormat="false" ht="15" hidden="false" customHeight="false" outlineLevel="0" collapsed="false">
      <c r="R244" s="1" t="s">
        <v>1259</v>
      </c>
      <c r="V244" s="55" t="s">
        <v>155</v>
      </c>
      <c r="W244" s="56"/>
      <c r="X244" s="57" t="n">
        <v>1</v>
      </c>
      <c r="Y244" s="28" t="n">
        <v>101.69</v>
      </c>
      <c r="Z244" s="28" t="n">
        <f aca="false">X244*Y244</f>
        <v>101.69</v>
      </c>
    </row>
    <row r="245" customFormat="false" ht="15" hidden="false" customHeight="false" outlineLevel="0" collapsed="false">
      <c r="Q245" s="60"/>
      <c r="R245" s="60"/>
      <c r="S245" s="60"/>
      <c r="T245" s="60"/>
      <c r="U245" s="60"/>
      <c r="V245" s="60"/>
      <c r="W245" s="60"/>
      <c r="X245" s="60"/>
      <c r="Y245" s="60"/>
      <c r="Z245" s="61" t="n">
        <f aca="false">SUM(Z244)</f>
        <v>101.69</v>
      </c>
    </row>
    <row r="247" customFormat="false" ht="15" hidden="false" customHeight="false" outlineLevel="0" collapsed="false">
      <c r="Q247" s="14" t="s">
        <v>334</v>
      </c>
      <c r="R247" s="14"/>
      <c r="S247" s="14" t="s">
        <v>1260</v>
      </c>
      <c r="T247" s="14"/>
      <c r="U247" s="14"/>
      <c r="V247" s="14"/>
      <c r="W247" s="14"/>
      <c r="X247" s="14"/>
      <c r="Y247" s="14"/>
    </row>
    <row r="248" customFormat="false" ht="15" hidden="false" customHeight="false" outlineLevel="0" collapsed="false">
      <c r="Q248" s="14" t="s">
        <v>279</v>
      </c>
      <c r="R248" s="14" t="s">
        <v>332</v>
      </c>
      <c r="S248" s="36" t="s">
        <v>281</v>
      </c>
      <c r="T248" s="52" t="n">
        <v>1</v>
      </c>
      <c r="U248" s="36" t="s">
        <v>282</v>
      </c>
      <c r="V248" s="52" t="n">
        <f aca="false">T248</f>
        <v>1</v>
      </c>
      <c r="W248" s="14" t="s">
        <v>283</v>
      </c>
      <c r="Y248" s="36" t="s">
        <v>155</v>
      </c>
      <c r="Z248" s="53" t="n">
        <f aca="false">Z252</f>
        <v>169.49</v>
      </c>
    </row>
    <row r="249" customFormat="false" ht="15" hidden="false" customHeight="false" outlineLevel="0" collapsed="false">
      <c r="Q249" s="14" t="s">
        <v>284</v>
      </c>
      <c r="R249" s="14" t="s">
        <v>285</v>
      </c>
      <c r="V249" s="36" t="s">
        <v>123</v>
      </c>
      <c r="W249" s="36" t="s">
        <v>286</v>
      </c>
      <c r="X249" s="36" t="s">
        <v>287</v>
      </c>
      <c r="Y249" s="36" t="s">
        <v>288</v>
      </c>
      <c r="Z249" s="36" t="s">
        <v>289</v>
      </c>
    </row>
    <row r="250" customFormat="false" ht="15" hidden="false" customHeight="false" outlineLevel="0" collapsed="false">
      <c r="R250" s="54" t="s">
        <v>654</v>
      </c>
    </row>
    <row r="251" customFormat="false" ht="15" hidden="false" customHeight="false" outlineLevel="0" collapsed="false">
      <c r="R251" s="1" t="s">
        <v>1261</v>
      </c>
      <c r="V251" s="55" t="s">
        <v>155</v>
      </c>
      <c r="W251" s="56"/>
      <c r="X251" s="57" t="n">
        <v>1</v>
      </c>
      <c r="Y251" s="28" t="n">
        <v>169.49</v>
      </c>
      <c r="Z251" s="28" t="n">
        <f aca="false">X251*Y251</f>
        <v>169.49</v>
      </c>
    </row>
    <row r="252" customFormat="false" ht="15" hidden="false" customHeight="false" outlineLevel="0" collapsed="false">
      <c r="Q252" s="60"/>
      <c r="R252" s="60"/>
      <c r="S252" s="60"/>
      <c r="T252" s="60"/>
      <c r="U252" s="60"/>
      <c r="V252" s="60"/>
      <c r="W252" s="60"/>
      <c r="X252" s="60"/>
      <c r="Y252" s="60"/>
      <c r="Z252" s="61" t="n">
        <f aca="false">SUM(Z251)</f>
        <v>169.49</v>
      </c>
    </row>
    <row r="253" customFormat="false" ht="16.5" hidden="false" customHeight="true" outlineLevel="0" collapsed="false"/>
    <row r="254" customFormat="false" ht="15" hidden="false" customHeight="false" outlineLevel="0" collapsed="false">
      <c r="Q254" s="14" t="s">
        <v>334</v>
      </c>
      <c r="R254" s="14"/>
      <c r="S254" s="14" t="s">
        <v>1262</v>
      </c>
      <c r="T254" s="14"/>
      <c r="U254" s="14"/>
      <c r="V254" s="14"/>
      <c r="W254" s="14"/>
      <c r="X254" s="14"/>
      <c r="Y254" s="14"/>
    </row>
    <row r="255" customFormat="false" ht="15" hidden="false" customHeight="false" outlineLevel="0" collapsed="false">
      <c r="Q255" s="14" t="s">
        <v>279</v>
      </c>
      <c r="R255" s="14" t="s">
        <v>280</v>
      </c>
      <c r="S255" s="36" t="s">
        <v>281</v>
      </c>
      <c r="T255" s="52" t="n">
        <v>300</v>
      </c>
      <c r="U255" s="36" t="s">
        <v>282</v>
      </c>
      <c r="V255" s="52" t="n">
        <f aca="false">T255</f>
        <v>300</v>
      </c>
      <c r="W255" s="14" t="s">
        <v>283</v>
      </c>
      <c r="Y255" s="36" t="s">
        <v>134</v>
      </c>
      <c r="Z255" s="53" t="n">
        <f aca="false">Z259+Z262</f>
        <v>1.14856</v>
      </c>
    </row>
    <row r="256" customFormat="false" ht="15" hidden="false" customHeight="false" outlineLevel="0" collapsed="false">
      <c r="Q256" s="14" t="s">
        <v>284</v>
      </c>
      <c r="R256" s="14" t="s">
        <v>285</v>
      </c>
      <c r="V256" s="36" t="s">
        <v>123</v>
      </c>
      <c r="W256" s="36" t="s">
        <v>286</v>
      </c>
      <c r="X256" s="36" t="s">
        <v>287</v>
      </c>
      <c r="Y256" s="36" t="s">
        <v>288</v>
      </c>
      <c r="Z256" s="36" t="s">
        <v>289</v>
      </c>
    </row>
    <row r="257" customFormat="false" ht="15" hidden="false" customHeight="false" outlineLevel="0" collapsed="false">
      <c r="R257" s="54" t="s">
        <v>290</v>
      </c>
    </row>
    <row r="258" customFormat="false" ht="15" hidden="false" customHeight="false" outlineLevel="0" collapsed="false">
      <c r="R258" s="1" t="s">
        <v>294</v>
      </c>
      <c r="V258" s="55" t="s">
        <v>292</v>
      </c>
      <c r="W258" s="56" t="n">
        <v>2</v>
      </c>
      <c r="X258" s="57" t="n">
        <f aca="false">W258*8/$T$255</f>
        <v>0.0533333333333333</v>
      </c>
      <c r="Y258" s="28" t="n">
        <v>20.51</v>
      </c>
      <c r="Z258" s="28" t="n">
        <f aca="false">X258*Y258</f>
        <v>1.09386666666667</v>
      </c>
    </row>
    <row r="259" customFormat="false" ht="15" hidden="false" customHeight="false" outlineLevel="0" collapsed="false">
      <c r="Z259" s="53" t="n">
        <f aca="false">SUM(Z258)</f>
        <v>1.09386666666667</v>
      </c>
    </row>
    <row r="260" customFormat="false" ht="15" hidden="false" customHeight="false" outlineLevel="0" collapsed="false">
      <c r="R260" s="54" t="s">
        <v>318</v>
      </c>
    </row>
    <row r="261" customFormat="false" ht="15" hidden="false" customHeight="false" outlineLevel="0" collapsed="false">
      <c r="R261" s="1" t="s">
        <v>311</v>
      </c>
      <c r="V261" s="55" t="s">
        <v>312</v>
      </c>
      <c r="X261" s="57" t="n">
        <v>5</v>
      </c>
      <c r="Y261" s="28" t="n">
        <f aca="false">Z258</f>
        <v>1.09386666666667</v>
      </c>
      <c r="Z261" s="28" t="n">
        <f aca="false">X261%*Y261</f>
        <v>0.0546933333333333</v>
      </c>
    </row>
    <row r="262" customFormat="false" ht="15" hidden="false" customHeight="false" outlineLevel="0" collapsed="false">
      <c r="Q262" s="60"/>
      <c r="R262" s="60"/>
      <c r="S262" s="60"/>
      <c r="T262" s="60"/>
      <c r="U262" s="60"/>
      <c r="V262" s="60"/>
      <c r="W262" s="60"/>
      <c r="X262" s="60"/>
      <c r="Y262" s="60"/>
      <c r="Z262" s="61" t="n">
        <f aca="false">SUM(Z261)</f>
        <v>0.0546933333333333</v>
      </c>
    </row>
    <row r="264" customFormat="false" ht="15" hidden="false" customHeight="false" outlineLevel="0" collapsed="false">
      <c r="Q264" s="14" t="s">
        <v>334</v>
      </c>
      <c r="R264" s="14"/>
      <c r="S264" s="14" t="s">
        <v>336</v>
      </c>
      <c r="T264" s="14"/>
      <c r="U264" s="14"/>
      <c r="V264" s="14"/>
      <c r="W264" s="14"/>
      <c r="X264" s="14"/>
      <c r="Y264" s="14"/>
    </row>
    <row r="265" customFormat="false" ht="15" hidden="false" customHeight="false" outlineLevel="0" collapsed="false">
      <c r="Q265" s="14" t="s">
        <v>279</v>
      </c>
      <c r="R265" s="14" t="s">
        <v>280</v>
      </c>
      <c r="S265" s="36" t="s">
        <v>281</v>
      </c>
      <c r="T265" s="52" t="n">
        <v>450</v>
      </c>
      <c r="U265" s="36" t="s">
        <v>282</v>
      </c>
      <c r="V265" s="52" t="n">
        <f aca="false">T265</f>
        <v>450</v>
      </c>
      <c r="W265" s="14" t="s">
        <v>283</v>
      </c>
      <c r="Y265" s="36" t="s">
        <v>134</v>
      </c>
      <c r="Z265" s="53" t="n">
        <f aca="false">Z269+Z273</f>
        <v>1.35947555555556</v>
      </c>
    </row>
    <row r="266" customFormat="false" ht="15" hidden="false" customHeight="false" outlineLevel="0" collapsed="false">
      <c r="Q266" s="14" t="s">
        <v>284</v>
      </c>
      <c r="R266" s="14" t="s">
        <v>285</v>
      </c>
      <c r="V266" s="36" t="s">
        <v>123</v>
      </c>
      <c r="W266" s="36" t="s">
        <v>286</v>
      </c>
      <c r="X266" s="36" t="s">
        <v>287</v>
      </c>
      <c r="Y266" s="36" t="s">
        <v>288</v>
      </c>
      <c r="Z266" s="36" t="s">
        <v>289</v>
      </c>
    </row>
    <row r="267" customFormat="false" ht="15" hidden="false" customHeight="false" outlineLevel="0" collapsed="false">
      <c r="R267" s="54" t="s">
        <v>290</v>
      </c>
    </row>
    <row r="268" customFormat="false" ht="15" hidden="false" customHeight="false" outlineLevel="0" collapsed="false">
      <c r="R268" s="1" t="s">
        <v>294</v>
      </c>
      <c r="V268" s="55" t="s">
        <v>292</v>
      </c>
      <c r="W268" s="56" t="n">
        <v>3</v>
      </c>
      <c r="X268" s="57" t="n">
        <f aca="false">W268*8/$T$265</f>
        <v>0.0533333333333333</v>
      </c>
      <c r="Y268" s="28" t="n">
        <v>20.51</v>
      </c>
      <c r="Z268" s="28" t="n">
        <f aca="false">X268*Y268</f>
        <v>1.09386666666667</v>
      </c>
    </row>
    <row r="269" customFormat="false" ht="15" hidden="false" customHeight="false" outlineLevel="0" collapsed="false">
      <c r="Z269" s="53" t="n">
        <f aca="false">SUM(Z268)</f>
        <v>1.09386666666667</v>
      </c>
    </row>
    <row r="270" customFormat="false" ht="15" hidden="false" customHeight="false" outlineLevel="0" collapsed="false">
      <c r="R270" s="54" t="s">
        <v>318</v>
      </c>
    </row>
    <row r="271" customFormat="false" ht="15" hidden="false" customHeight="false" outlineLevel="0" collapsed="false">
      <c r="R271" s="1" t="s">
        <v>337</v>
      </c>
      <c r="V271" s="55" t="s">
        <v>338</v>
      </c>
      <c r="W271" s="56" t="n">
        <v>0.1</v>
      </c>
      <c r="X271" s="57" t="n">
        <f aca="false">W271*8/$T$265</f>
        <v>0.00177777777777778</v>
      </c>
      <c r="Y271" s="28" t="n">
        <v>118.64</v>
      </c>
      <c r="Z271" s="28" t="n">
        <f aca="false">X271*Y271</f>
        <v>0.210915555555556</v>
      </c>
    </row>
    <row r="272" customFormat="false" ht="15" hidden="false" customHeight="false" outlineLevel="0" collapsed="false">
      <c r="R272" s="1" t="s">
        <v>311</v>
      </c>
      <c r="V272" s="55" t="s">
        <v>312</v>
      </c>
      <c r="X272" s="57" t="n">
        <v>5</v>
      </c>
      <c r="Y272" s="28" t="n">
        <f aca="false">Z268</f>
        <v>1.09386666666667</v>
      </c>
      <c r="Z272" s="28" t="n">
        <f aca="false">X272%*Y272</f>
        <v>0.0546933333333333</v>
      </c>
    </row>
    <row r="273" customFormat="false" ht="15" hidden="false" customHeight="false" outlineLevel="0" collapsed="false">
      <c r="Q273" s="60"/>
      <c r="R273" s="60"/>
      <c r="S273" s="60"/>
      <c r="T273" s="60"/>
      <c r="U273" s="60"/>
      <c r="V273" s="60"/>
      <c r="W273" s="60"/>
      <c r="X273" s="60"/>
      <c r="Y273" s="60"/>
      <c r="Z273" s="61" t="n">
        <f aca="false">SUM(Z271:Z272)</f>
        <v>0.265608888888889</v>
      </c>
    </row>
    <row r="275" customFormat="false" ht="15" hidden="false" customHeight="false" outlineLevel="0" collapsed="false">
      <c r="Q275" s="14" t="s">
        <v>334</v>
      </c>
      <c r="R275" s="14"/>
      <c r="S275" s="14" t="s">
        <v>1263</v>
      </c>
      <c r="T275" s="14"/>
      <c r="U275" s="14"/>
      <c r="V275" s="14"/>
      <c r="W275" s="14"/>
      <c r="X275" s="14"/>
      <c r="Y275" s="14"/>
    </row>
    <row r="276" customFormat="false" ht="15" hidden="false" customHeight="false" outlineLevel="0" collapsed="false">
      <c r="Q276" s="14" t="s">
        <v>279</v>
      </c>
      <c r="R276" s="14" t="s">
        <v>332</v>
      </c>
      <c r="S276" s="36" t="s">
        <v>281</v>
      </c>
      <c r="T276" s="52" t="n">
        <v>1</v>
      </c>
      <c r="U276" s="36" t="s">
        <v>282</v>
      </c>
      <c r="V276" s="52" t="n">
        <f aca="false">T276</f>
        <v>1</v>
      </c>
      <c r="W276" s="14" t="s">
        <v>283</v>
      </c>
      <c r="Y276" s="36" t="s">
        <v>155</v>
      </c>
      <c r="Z276" s="53" t="n">
        <f aca="false">Z280</f>
        <v>43125.47</v>
      </c>
    </row>
    <row r="277" customFormat="false" ht="15" hidden="false" customHeight="false" outlineLevel="0" collapsed="false">
      <c r="Q277" s="14" t="s">
        <v>284</v>
      </c>
      <c r="R277" s="14" t="s">
        <v>285</v>
      </c>
      <c r="V277" s="36" t="s">
        <v>123</v>
      </c>
      <c r="W277" s="36" t="s">
        <v>286</v>
      </c>
      <c r="X277" s="36" t="s">
        <v>287</v>
      </c>
      <c r="Y277" s="36" t="s">
        <v>288</v>
      </c>
      <c r="Z277" s="36" t="s">
        <v>289</v>
      </c>
    </row>
    <row r="278" customFormat="false" ht="15" hidden="false" customHeight="false" outlineLevel="0" collapsed="false">
      <c r="R278" s="54" t="s">
        <v>654</v>
      </c>
    </row>
    <row r="279" customFormat="false" ht="15" hidden="false" customHeight="false" outlineLevel="0" collapsed="false">
      <c r="R279" s="1" t="s">
        <v>1263</v>
      </c>
      <c r="V279" s="55" t="s">
        <v>155</v>
      </c>
      <c r="W279" s="56"/>
      <c r="X279" s="57" t="n">
        <v>1</v>
      </c>
      <c r="Y279" s="28" t="n">
        <v>43125.47</v>
      </c>
      <c r="Z279" s="28" t="n">
        <f aca="false">X279*Y279</f>
        <v>43125.47</v>
      </c>
    </row>
    <row r="280" customFormat="false" ht="15" hidden="false" customHeight="false" outlineLevel="0" collapsed="false">
      <c r="Q280" s="60"/>
      <c r="R280" s="60"/>
      <c r="S280" s="60"/>
      <c r="T280" s="60"/>
      <c r="U280" s="60"/>
      <c r="V280" s="60"/>
      <c r="W280" s="60"/>
      <c r="X280" s="60"/>
      <c r="Y280" s="60"/>
      <c r="Z280" s="61" t="n">
        <f aca="false">SUM(Z279)</f>
        <v>43125.47</v>
      </c>
    </row>
    <row r="282" customFormat="false" ht="15" hidden="false" customHeight="false" outlineLevel="0" collapsed="false">
      <c r="Q282" s="14" t="s">
        <v>334</v>
      </c>
      <c r="R282" s="14"/>
      <c r="S282" s="14" t="s">
        <v>175</v>
      </c>
      <c r="T282" s="14"/>
      <c r="U282" s="14"/>
      <c r="V282" s="14"/>
      <c r="W282" s="14"/>
      <c r="X282" s="14"/>
      <c r="Y282" s="14"/>
    </row>
    <row r="283" customFormat="false" ht="15" hidden="false" customHeight="false" outlineLevel="0" collapsed="false">
      <c r="Q283" s="14" t="s">
        <v>279</v>
      </c>
      <c r="R283" s="14" t="s">
        <v>332</v>
      </c>
      <c r="S283" s="36" t="s">
        <v>281</v>
      </c>
      <c r="T283" s="52" t="n">
        <v>1</v>
      </c>
      <c r="U283" s="36" t="s">
        <v>282</v>
      </c>
      <c r="V283" s="52" t="n">
        <f aca="false">T283</f>
        <v>1</v>
      </c>
      <c r="W283" s="14" t="s">
        <v>283</v>
      </c>
      <c r="Y283" s="36" t="s">
        <v>155</v>
      </c>
      <c r="Z283" s="53" t="n">
        <f aca="false">Z287+Z293+Z298</f>
        <v>211429.514846667</v>
      </c>
    </row>
    <row r="284" customFormat="false" ht="15" hidden="false" customHeight="false" outlineLevel="0" collapsed="false">
      <c r="Q284" s="14" t="s">
        <v>284</v>
      </c>
      <c r="R284" s="14" t="s">
        <v>285</v>
      </c>
      <c r="V284" s="36" t="s">
        <v>123</v>
      </c>
      <c r="W284" s="36" t="s">
        <v>286</v>
      </c>
      <c r="X284" s="36" t="s">
        <v>287</v>
      </c>
      <c r="Y284" s="36" t="s">
        <v>288</v>
      </c>
      <c r="Z284" s="36" t="s">
        <v>289</v>
      </c>
    </row>
    <row r="285" customFormat="false" ht="15" hidden="false" customHeight="false" outlineLevel="0" collapsed="false">
      <c r="R285" s="54" t="s">
        <v>654</v>
      </c>
    </row>
    <row r="286" customFormat="false" ht="15" hidden="false" customHeight="false" outlineLevel="0" collapsed="false">
      <c r="R286" s="1" t="s">
        <v>175</v>
      </c>
      <c r="V286" s="55" t="s">
        <v>155</v>
      </c>
      <c r="W286" s="56"/>
      <c r="X286" s="57" t="n">
        <v>1</v>
      </c>
      <c r="Y286" s="28" t="n">
        <v>211429.09</v>
      </c>
      <c r="Z286" s="28" t="n">
        <f aca="false">X286*Y286</f>
        <v>211429.09</v>
      </c>
    </row>
    <row r="287" customFormat="false" ht="15" hidden="false" customHeight="false" outlineLevel="0" collapsed="false">
      <c r="Q287" s="60"/>
      <c r="R287" s="60"/>
      <c r="S287" s="60"/>
      <c r="T287" s="60"/>
      <c r="U287" s="60"/>
      <c r="V287" s="60"/>
      <c r="W287" s="60"/>
      <c r="X287" s="60"/>
      <c r="Y287" s="60"/>
      <c r="Z287" s="61" t="n">
        <f aca="false">SUM(Z286)</f>
        <v>211429.09</v>
      </c>
    </row>
    <row r="289" customFormat="false" ht="15" hidden="false" customHeight="false" outlineLevel="0" collapsed="false">
      <c r="Q289" s="14" t="s">
        <v>334</v>
      </c>
      <c r="R289" s="14"/>
      <c r="S289" s="14" t="s">
        <v>179</v>
      </c>
      <c r="T289" s="14"/>
      <c r="U289" s="14"/>
      <c r="V289" s="14"/>
      <c r="W289" s="14"/>
      <c r="X289" s="14"/>
      <c r="Y289" s="14"/>
    </row>
    <row r="290" customFormat="false" ht="15" hidden="false" customHeight="false" outlineLevel="0" collapsed="false">
      <c r="Q290" s="14" t="s">
        <v>279</v>
      </c>
      <c r="R290" s="14" t="s">
        <v>280</v>
      </c>
      <c r="S290" s="36" t="s">
        <v>281</v>
      </c>
      <c r="T290" s="52" t="n">
        <v>600</v>
      </c>
      <c r="U290" s="36" t="s">
        <v>282</v>
      </c>
      <c r="V290" s="52" t="n">
        <f aca="false">T290</f>
        <v>600</v>
      </c>
      <c r="W290" s="14" t="s">
        <v>283</v>
      </c>
      <c r="Y290" s="36" t="s">
        <v>134</v>
      </c>
      <c r="Z290" s="53" t="n">
        <f aca="false">Z295+Z302+Z307</f>
        <v>3.97626</v>
      </c>
    </row>
    <row r="291" customFormat="false" ht="15" hidden="false" customHeight="false" outlineLevel="0" collapsed="false">
      <c r="Q291" s="14" t="s">
        <v>284</v>
      </c>
      <c r="R291" s="14" t="s">
        <v>285</v>
      </c>
      <c r="V291" s="36" t="s">
        <v>123</v>
      </c>
      <c r="W291" s="36" t="s">
        <v>286</v>
      </c>
      <c r="X291" s="36" t="s">
        <v>287</v>
      </c>
      <c r="Y291" s="36" t="s">
        <v>288</v>
      </c>
      <c r="Z291" s="36" t="s">
        <v>289</v>
      </c>
    </row>
    <row r="292" customFormat="false" ht="15" hidden="false" customHeight="false" outlineLevel="0" collapsed="false">
      <c r="R292" s="54" t="s">
        <v>290</v>
      </c>
    </row>
    <row r="293" customFormat="false" ht="15" hidden="false" customHeight="false" outlineLevel="0" collapsed="false">
      <c r="R293" s="1" t="s">
        <v>291</v>
      </c>
      <c r="V293" s="55" t="s">
        <v>292</v>
      </c>
      <c r="W293" s="56" t="n">
        <v>1</v>
      </c>
      <c r="X293" s="57" t="n">
        <f aca="false">W293*8/$T$290</f>
        <v>0.0133333333333333</v>
      </c>
      <c r="Y293" s="28" t="n">
        <v>28.94</v>
      </c>
      <c r="Z293" s="28" t="n">
        <f aca="false">X293*Y293</f>
        <v>0.385866666666667</v>
      </c>
    </row>
    <row r="294" customFormat="false" ht="15" hidden="false" customHeight="false" outlineLevel="0" collapsed="false">
      <c r="R294" s="1" t="s">
        <v>294</v>
      </c>
      <c r="V294" s="55" t="s">
        <v>292</v>
      </c>
      <c r="W294" s="56" t="n">
        <v>3</v>
      </c>
      <c r="X294" s="57" t="n">
        <f aca="false">W294*8/$T$290</f>
        <v>0.04</v>
      </c>
      <c r="Y294" s="28" t="n">
        <v>20.51</v>
      </c>
      <c r="Z294" s="28" t="n">
        <f aca="false">X294*Y294</f>
        <v>0.8204</v>
      </c>
    </row>
    <row r="295" customFormat="false" ht="15" hidden="false" customHeight="false" outlineLevel="0" collapsed="false">
      <c r="Z295" s="53" t="n">
        <f aca="false">SUM(Z293:Z294)</f>
        <v>1.20626666666667</v>
      </c>
    </row>
    <row r="296" customFormat="false" ht="15" hidden="false" customHeight="false" outlineLevel="0" collapsed="false">
      <c r="R296" s="54" t="s">
        <v>295</v>
      </c>
    </row>
    <row r="297" customFormat="false" ht="15" hidden="false" customHeight="false" outlineLevel="0" collapsed="false">
      <c r="R297" s="1" t="s">
        <v>302</v>
      </c>
      <c r="V297" s="55" t="s">
        <v>297</v>
      </c>
      <c r="X297" s="57" t="n">
        <v>0.01</v>
      </c>
      <c r="Y297" s="28" t="n">
        <v>5.51</v>
      </c>
      <c r="Z297" s="28" t="n">
        <f aca="false">X297*Y297</f>
        <v>0.0551</v>
      </c>
    </row>
    <row r="298" customFormat="false" ht="15" hidden="false" customHeight="false" outlineLevel="0" collapsed="false">
      <c r="R298" s="1" t="s">
        <v>339</v>
      </c>
      <c r="V298" s="55" t="s">
        <v>340</v>
      </c>
      <c r="X298" s="57" t="n">
        <v>0.001</v>
      </c>
      <c r="Y298" s="28" t="n">
        <v>38.98</v>
      </c>
      <c r="Z298" s="28" t="n">
        <f aca="false">X298*Y298</f>
        <v>0.03898</v>
      </c>
    </row>
    <row r="299" customFormat="false" ht="15" hidden="false" customHeight="false" outlineLevel="0" collapsed="false">
      <c r="R299" s="1" t="s">
        <v>341</v>
      </c>
      <c r="V299" s="55" t="s">
        <v>308</v>
      </c>
      <c r="X299" s="57" t="n">
        <v>0.02</v>
      </c>
      <c r="Y299" s="28" t="n">
        <v>11.86</v>
      </c>
      <c r="Z299" s="28" t="n">
        <f aca="false">X299*Y299</f>
        <v>0.2372</v>
      </c>
    </row>
    <row r="300" customFormat="false" ht="15" hidden="false" customHeight="false" outlineLevel="0" collapsed="false">
      <c r="R300" s="1" t="s">
        <v>342</v>
      </c>
      <c r="V300" s="55" t="s">
        <v>145</v>
      </c>
      <c r="X300" s="57" t="n">
        <v>0.19</v>
      </c>
      <c r="Y300" s="28" t="n">
        <v>10</v>
      </c>
      <c r="Z300" s="28" t="n">
        <f aca="false">X300*Y300</f>
        <v>1.9</v>
      </c>
    </row>
    <row r="301" customFormat="false" ht="15" hidden="false" customHeight="false" outlineLevel="0" collapsed="false">
      <c r="R301" s="1" t="s">
        <v>309</v>
      </c>
      <c r="V301" s="55" t="s">
        <v>306</v>
      </c>
      <c r="X301" s="57" t="n">
        <v>0.02</v>
      </c>
      <c r="Y301" s="28" t="n">
        <v>5.8</v>
      </c>
      <c r="Z301" s="28" t="n">
        <f aca="false">X301*Y301</f>
        <v>0.116</v>
      </c>
    </row>
    <row r="302" customFormat="false" ht="15" hidden="false" customHeight="false" outlineLevel="0" collapsed="false">
      <c r="V302" s="55"/>
      <c r="Z302" s="53" t="n">
        <f aca="false">SUM(Z297:Z301)</f>
        <v>2.34728</v>
      </c>
    </row>
    <row r="303" customFormat="false" ht="15" hidden="false" customHeight="false" outlineLevel="0" collapsed="false">
      <c r="R303" s="54" t="s">
        <v>318</v>
      </c>
    </row>
    <row r="304" customFormat="false" ht="15" hidden="false" customHeight="false" outlineLevel="0" collapsed="false">
      <c r="R304" s="1" t="s">
        <v>311</v>
      </c>
      <c r="V304" s="55" t="s">
        <v>312</v>
      </c>
      <c r="X304" s="57" t="n">
        <v>5</v>
      </c>
      <c r="Y304" s="28" t="n">
        <f aca="false">Z295</f>
        <v>1.20626666666667</v>
      </c>
      <c r="Z304" s="28" t="n">
        <f aca="false">X304%*Y304</f>
        <v>0.0603133333333333</v>
      </c>
    </row>
    <row r="305" customFormat="false" ht="15" hidden="false" customHeight="false" outlineLevel="0" collapsed="false">
      <c r="R305" s="1" t="s">
        <v>343</v>
      </c>
      <c r="V305" s="55" t="s">
        <v>338</v>
      </c>
      <c r="W305" s="56" t="n">
        <v>1</v>
      </c>
      <c r="X305" s="57" t="n">
        <f aca="false">W305*8/$T$310</f>
        <v>0.0133333333333333</v>
      </c>
      <c r="Y305" s="28" t="n">
        <v>20</v>
      </c>
      <c r="Z305" s="28" t="n">
        <f aca="false">X305*Y305</f>
        <v>0.266666666666667</v>
      </c>
    </row>
    <row r="306" customFormat="false" ht="15" hidden="false" customHeight="false" outlineLevel="0" collapsed="false">
      <c r="R306" s="1" t="s">
        <v>344</v>
      </c>
      <c r="V306" s="55" t="s">
        <v>338</v>
      </c>
      <c r="W306" s="56" t="n">
        <v>1</v>
      </c>
      <c r="X306" s="57" t="n">
        <f aca="false">W306*8/$T$310</f>
        <v>0.0133333333333333</v>
      </c>
      <c r="Y306" s="28" t="n">
        <v>7.18</v>
      </c>
      <c r="Z306" s="28" t="n">
        <f aca="false">X306*Y306</f>
        <v>0.0957333333333333</v>
      </c>
    </row>
    <row r="307" customFormat="false" ht="15" hidden="false" customHeight="false" outlineLevel="0" collapsed="false">
      <c r="Q307" s="60"/>
      <c r="R307" s="60"/>
      <c r="S307" s="60"/>
      <c r="T307" s="60"/>
      <c r="U307" s="60"/>
      <c r="V307" s="60"/>
      <c r="W307" s="60"/>
      <c r="X307" s="60"/>
      <c r="Y307" s="60"/>
      <c r="Z307" s="61" t="n">
        <f aca="false">SUM(Z304:Z306)</f>
        <v>0.422713333333333</v>
      </c>
    </row>
    <row r="309" customFormat="false" ht="15" hidden="false" customHeight="false" outlineLevel="0" collapsed="false">
      <c r="Q309" s="14" t="s">
        <v>334</v>
      </c>
      <c r="R309" s="14"/>
      <c r="S309" s="14" t="s">
        <v>345</v>
      </c>
      <c r="T309" s="14"/>
      <c r="U309" s="14"/>
      <c r="V309" s="14"/>
      <c r="W309" s="14"/>
      <c r="X309" s="14"/>
      <c r="Y309" s="14"/>
    </row>
    <row r="310" customFormat="false" ht="15" hidden="false" customHeight="false" outlineLevel="0" collapsed="false">
      <c r="Q310" s="14" t="s">
        <v>279</v>
      </c>
      <c r="R310" s="14" t="s">
        <v>280</v>
      </c>
      <c r="S310" s="36" t="s">
        <v>281</v>
      </c>
      <c r="T310" s="52" t="n">
        <v>600</v>
      </c>
      <c r="U310" s="36" t="s">
        <v>282</v>
      </c>
      <c r="V310" s="52" t="n">
        <f aca="false">T310</f>
        <v>600</v>
      </c>
      <c r="W310" s="14" t="s">
        <v>283</v>
      </c>
      <c r="Y310" s="36" t="s">
        <v>134</v>
      </c>
      <c r="Z310" s="53" t="n">
        <f aca="false">Z315+Z321+Z326</f>
        <v>4.26553</v>
      </c>
    </row>
    <row r="311" customFormat="false" ht="15" hidden="false" customHeight="false" outlineLevel="0" collapsed="false">
      <c r="Q311" s="14" t="s">
        <v>284</v>
      </c>
      <c r="R311" s="14" t="s">
        <v>285</v>
      </c>
      <c r="V311" s="36" t="s">
        <v>123</v>
      </c>
      <c r="W311" s="36" t="s">
        <v>286</v>
      </c>
      <c r="X311" s="36" t="s">
        <v>287</v>
      </c>
      <c r="Y311" s="36" t="s">
        <v>288</v>
      </c>
      <c r="Z311" s="36" t="s">
        <v>289</v>
      </c>
    </row>
    <row r="312" customFormat="false" ht="15" hidden="false" customHeight="false" outlineLevel="0" collapsed="false">
      <c r="R312" s="54" t="s">
        <v>290</v>
      </c>
    </row>
    <row r="313" customFormat="false" ht="15" hidden="false" customHeight="false" outlineLevel="0" collapsed="false">
      <c r="R313" s="1" t="s">
        <v>291</v>
      </c>
      <c r="V313" s="55" t="s">
        <v>292</v>
      </c>
      <c r="W313" s="56" t="n">
        <v>1</v>
      </c>
      <c r="X313" s="57" t="n">
        <f aca="false">W313*8/$T$310</f>
        <v>0.0133333333333333</v>
      </c>
      <c r="Y313" s="28" t="n">
        <v>28.94</v>
      </c>
      <c r="Z313" s="28" t="n">
        <f aca="false">X313*Y313</f>
        <v>0.385866666666667</v>
      </c>
    </row>
    <row r="314" customFormat="false" ht="15" hidden="false" customHeight="false" outlineLevel="0" collapsed="false">
      <c r="R314" s="1" t="s">
        <v>294</v>
      </c>
      <c r="V314" s="55" t="s">
        <v>292</v>
      </c>
      <c r="W314" s="56" t="n">
        <v>3</v>
      </c>
      <c r="X314" s="57" t="n">
        <f aca="false">W314*8/$T$310</f>
        <v>0.04</v>
      </c>
      <c r="Y314" s="28" t="n">
        <v>20.51</v>
      </c>
      <c r="Z314" s="28" t="n">
        <f aca="false">X314*Y314</f>
        <v>0.8204</v>
      </c>
    </row>
    <row r="315" customFormat="false" ht="15" hidden="false" customHeight="false" outlineLevel="0" collapsed="false">
      <c r="Z315" s="53" t="n">
        <f aca="false">SUM(Z313:Z314)</f>
        <v>1.20626666666667</v>
      </c>
    </row>
    <row r="316" customFormat="false" ht="15" hidden="false" customHeight="false" outlineLevel="0" collapsed="false">
      <c r="R316" s="54" t="s">
        <v>295</v>
      </c>
    </row>
    <row r="317" customFormat="false" ht="15" hidden="false" customHeight="false" outlineLevel="0" collapsed="false">
      <c r="R317" s="1" t="s">
        <v>302</v>
      </c>
      <c r="V317" s="55" t="s">
        <v>297</v>
      </c>
      <c r="X317" s="57" t="n">
        <v>0.005</v>
      </c>
      <c r="Y317" s="28" t="n">
        <v>5.51</v>
      </c>
      <c r="Z317" s="28" t="n">
        <f aca="false">X317*Y317</f>
        <v>0.02755</v>
      </c>
    </row>
    <row r="318" customFormat="false" ht="15" hidden="false" customHeight="false" outlineLevel="0" collapsed="false">
      <c r="R318" s="1" t="s">
        <v>341</v>
      </c>
      <c r="V318" s="55" t="s">
        <v>308</v>
      </c>
      <c r="X318" s="57" t="n">
        <v>0.05</v>
      </c>
      <c r="Y318" s="28" t="n">
        <v>11.86</v>
      </c>
      <c r="Z318" s="28" t="n">
        <f aca="false">X318*Y318</f>
        <v>0.593</v>
      </c>
    </row>
    <row r="319" customFormat="false" ht="15" hidden="false" customHeight="false" outlineLevel="0" collapsed="false">
      <c r="R319" s="1" t="s">
        <v>342</v>
      </c>
      <c r="V319" s="55" t="s">
        <v>145</v>
      </c>
      <c r="X319" s="57" t="n">
        <v>0.19</v>
      </c>
      <c r="Y319" s="28" t="n">
        <v>10</v>
      </c>
      <c r="Z319" s="28" t="n">
        <f aca="false">X319*Y319</f>
        <v>1.9</v>
      </c>
    </row>
    <row r="320" customFormat="false" ht="15" hidden="false" customHeight="false" outlineLevel="0" collapsed="false">
      <c r="R320" s="1" t="s">
        <v>309</v>
      </c>
      <c r="V320" s="55" t="s">
        <v>306</v>
      </c>
      <c r="X320" s="57" t="n">
        <v>0.02</v>
      </c>
      <c r="Y320" s="28" t="n">
        <v>5.8</v>
      </c>
      <c r="Z320" s="28" t="n">
        <f aca="false">X320*Y320</f>
        <v>0.116</v>
      </c>
    </row>
    <row r="321" customFormat="false" ht="15" hidden="false" customHeight="false" outlineLevel="0" collapsed="false">
      <c r="V321" s="55"/>
      <c r="Z321" s="53" t="n">
        <f aca="false">SUM(Z317:Z320)</f>
        <v>2.63655</v>
      </c>
    </row>
    <row r="322" customFormat="false" ht="15" hidden="false" customHeight="false" outlineLevel="0" collapsed="false">
      <c r="R322" s="54" t="s">
        <v>318</v>
      </c>
    </row>
    <row r="323" customFormat="false" ht="15" hidden="false" customHeight="false" outlineLevel="0" collapsed="false">
      <c r="R323" s="1" t="s">
        <v>311</v>
      </c>
      <c r="V323" s="55" t="s">
        <v>312</v>
      </c>
      <c r="X323" s="57" t="n">
        <v>5</v>
      </c>
      <c r="Y323" s="28" t="n">
        <f aca="false">Z315</f>
        <v>1.20626666666667</v>
      </c>
      <c r="Z323" s="28" t="n">
        <f aca="false">X323%*Y323</f>
        <v>0.0603133333333333</v>
      </c>
    </row>
    <row r="324" customFormat="false" ht="15" hidden="false" customHeight="false" outlineLevel="0" collapsed="false">
      <c r="R324" s="1" t="s">
        <v>343</v>
      </c>
      <c r="V324" s="55" t="s">
        <v>338</v>
      </c>
      <c r="W324" s="56" t="n">
        <v>1</v>
      </c>
      <c r="X324" s="57" t="n">
        <f aca="false">W324*8/$T$310</f>
        <v>0.0133333333333333</v>
      </c>
      <c r="Y324" s="28" t="n">
        <v>20</v>
      </c>
      <c r="Z324" s="28" t="n">
        <f aca="false">X324*Y324</f>
        <v>0.266666666666667</v>
      </c>
    </row>
    <row r="325" customFormat="false" ht="15" hidden="false" customHeight="false" outlineLevel="0" collapsed="false">
      <c r="R325" s="1" t="s">
        <v>344</v>
      </c>
      <c r="V325" s="55" t="s">
        <v>338</v>
      </c>
      <c r="W325" s="56" t="n">
        <v>1</v>
      </c>
      <c r="X325" s="57" t="n">
        <f aca="false">W325*8/$T$310</f>
        <v>0.0133333333333333</v>
      </c>
      <c r="Y325" s="28" t="n">
        <v>7.18</v>
      </c>
      <c r="Z325" s="28" t="n">
        <f aca="false">X325*Y325</f>
        <v>0.0957333333333333</v>
      </c>
    </row>
    <row r="326" customFormat="false" ht="15" hidden="false" customHeight="false" outlineLevel="0" collapsed="false">
      <c r="Q326" s="60"/>
      <c r="R326" s="60"/>
      <c r="S326" s="60"/>
      <c r="T326" s="60"/>
      <c r="U326" s="60"/>
      <c r="V326" s="60"/>
      <c r="W326" s="60"/>
      <c r="X326" s="60"/>
      <c r="Y326" s="60"/>
      <c r="Z326" s="61" t="n">
        <f aca="false">SUM(Z323:Z325)</f>
        <v>0.422713333333333</v>
      </c>
    </row>
    <row r="328" customFormat="false" ht="15" hidden="false" customHeight="false" outlineLevel="0" collapsed="false">
      <c r="Q328" s="14" t="s">
        <v>334</v>
      </c>
      <c r="R328" s="14"/>
      <c r="S328" s="14" t="s">
        <v>1264</v>
      </c>
      <c r="T328" s="14"/>
      <c r="U328" s="14"/>
      <c r="V328" s="14"/>
      <c r="W328" s="14"/>
      <c r="X328" s="14"/>
      <c r="Y328" s="14"/>
    </row>
    <row r="329" customFormat="false" ht="15" hidden="false" customHeight="false" outlineLevel="0" collapsed="false">
      <c r="Q329" s="14" t="s">
        <v>279</v>
      </c>
      <c r="R329" s="14" t="s">
        <v>347</v>
      </c>
      <c r="S329" s="36" t="s">
        <v>281</v>
      </c>
      <c r="T329" s="52" t="n">
        <v>1</v>
      </c>
      <c r="U329" s="36" t="s">
        <v>282</v>
      </c>
      <c r="V329" s="52" t="n">
        <f aca="false">T329</f>
        <v>1</v>
      </c>
      <c r="W329" s="14" t="s">
        <v>283</v>
      </c>
      <c r="Y329" s="36" t="s">
        <v>348</v>
      </c>
      <c r="Z329" s="53" t="n">
        <f aca="false">Z352</f>
        <v>41043.35</v>
      </c>
    </row>
    <row r="330" customFormat="false" ht="15" hidden="false" customHeight="false" outlineLevel="0" collapsed="false">
      <c r="Q330" s="14" t="s">
        <v>284</v>
      </c>
      <c r="R330" s="14" t="s">
        <v>285</v>
      </c>
      <c r="V330" s="36" t="s">
        <v>123</v>
      </c>
      <c r="W330" s="36" t="s">
        <v>286</v>
      </c>
      <c r="X330" s="36" t="s">
        <v>287</v>
      </c>
      <c r="Y330" s="36" t="s">
        <v>288</v>
      </c>
      <c r="Z330" s="36" t="s">
        <v>289</v>
      </c>
    </row>
    <row r="331" customFormat="false" ht="15" hidden="false" customHeight="false" outlineLevel="0" collapsed="false">
      <c r="R331" s="54" t="s">
        <v>295</v>
      </c>
    </row>
    <row r="332" customFormat="false" ht="15" hidden="false" customHeight="false" outlineLevel="0" collapsed="false">
      <c r="R332" s="1" t="s">
        <v>349</v>
      </c>
      <c r="V332" s="55" t="s">
        <v>150</v>
      </c>
      <c r="W332" s="56"/>
      <c r="X332" s="57" t="n">
        <v>20</v>
      </c>
      <c r="Y332" s="1" t="n">
        <v>394.07</v>
      </c>
      <c r="Z332" s="28" t="n">
        <f aca="false">X332*Y332</f>
        <v>7881.4</v>
      </c>
      <c r="AH332" s="9"/>
    </row>
    <row r="333" customFormat="false" ht="15" hidden="false" customHeight="false" outlineLevel="0" collapsed="false">
      <c r="R333" s="1" t="s">
        <v>350</v>
      </c>
      <c r="V333" s="55" t="s">
        <v>351</v>
      </c>
      <c r="X333" s="57" t="n">
        <v>40</v>
      </c>
      <c r="Y333" s="1" t="n">
        <v>50.76</v>
      </c>
      <c r="Z333" s="28" t="n">
        <f aca="false">X333*Y333</f>
        <v>2030.4</v>
      </c>
    </row>
    <row r="334" customFormat="false" ht="15" hidden="false" customHeight="false" outlineLevel="0" collapsed="false">
      <c r="R334" s="1" t="s">
        <v>352</v>
      </c>
      <c r="V334" s="55" t="s">
        <v>150</v>
      </c>
      <c r="X334" s="57" t="n">
        <v>120</v>
      </c>
      <c r="Y334" s="1" t="n">
        <v>32.2</v>
      </c>
      <c r="Z334" s="28" t="n">
        <f aca="false">X334*Y334</f>
        <v>3864</v>
      </c>
    </row>
    <row r="335" customFormat="false" ht="15" hidden="false" customHeight="false" outlineLevel="0" collapsed="false">
      <c r="R335" s="1" t="s">
        <v>353</v>
      </c>
      <c r="V335" s="55" t="s">
        <v>150</v>
      </c>
      <c r="X335" s="57" t="n">
        <v>120</v>
      </c>
      <c r="Y335" s="1" t="n">
        <v>32.2</v>
      </c>
      <c r="Z335" s="28" t="n">
        <f aca="false">X335*Y335</f>
        <v>3864</v>
      </c>
      <c r="AI335" s="9"/>
    </row>
    <row r="336" customFormat="false" ht="15" hidden="false" customHeight="false" outlineLevel="0" collapsed="false">
      <c r="R336" s="1" t="s">
        <v>354</v>
      </c>
      <c r="V336" s="55" t="s">
        <v>351</v>
      </c>
      <c r="X336" s="57" t="n">
        <v>112</v>
      </c>
      <c r="Y336" s="1" t="n">
        <v>11.86</v>
      </c>
      <c r="Z336" s="28" t="n">
        <f aca="false">X336*Y336</f>
        <v>1328.32</v>
      </c>
    </row>
    <row r="337" customFormat="false" ht="15" hidden="false" customHeight="false" outlineLevel="0" collapsed="false">
      <c r="R337" s="1" t="s">
        <v>355</v>
      </c>
      <c r="V337" s="55" t="s">
        <v>351</v>
      </c>
      <c r="X337" s="57" t="n">
        <v>40</v>
      </c>
      <c r="Y337" s="1" t="n">
        <v>11.02</v>
      </c>
      <c r="Z337" s="28" t="n">
        <f aca="false">X337*Y337</f>
        <v>440.8</v>
      </c>
    </row>
    <row r="338" customFormat="false" ht="15" hidden="false" customHeight="false" outlineLevel="0" collapsed="false">
      <c r="R338" s="1" t="s">
        <v>356</v>
      </c>
      <c r="V338" s="55" t="s">
        <v>351</v>
      </c>
      <c r="X338" s="57" t="n">
        <v>40</v>
      </c>
      <c r="Y338" s="1" t="n">
        <v>7.63</v>
      </c>
      <c r="Z338" s="28" t="n">
        <f aca="false">X338*Y338</f>
        <v>305.2</v>
      </c>
    </row>
    <row r="339" customFormat="false" ht="15" hidden="false" customHeight="false" outlineLevel="0" collapsed="false">
      <c r="R339" s="1" t="s">
        <v>357</v>
      </c>
      <c r="V339" s="55" t="s">
        <v>351</v>
      </c>
      <c r="X339" s="57" t="n">
        <v>40</v>
      </c>
      <c r="Y339" s="1" t="n">
        <v>14.41</v>
      </c>
      <c r="Z339" s="28" t="n">
        <f aca="false">X339*Y339</f>
        <v>576.4</v>
      </c>
    </row>
    <row r="340" customFormat="false" ht="15" hidden="false" customHeight="false" outlineLevel="0" collapsed="false">
      <c r="R340" s="1" t="s">
        <v>358</v>
      </c>
      <c r="V340" s="55" t="s">
        <v>351</v>
      </c>
      <c r="X340" s="57" t="n">
        <v>4</v>
      </c>
      <c r="Y340" s="1" t="n">
        <v>80.51</v>
      </c>
      <c r="Z340" s="28" t="n">
        <f aca="false">X340*Y340</f>
        <v>322.04</v>
      </c>
    </row>
    <row r="341" customFormat="false" ht="15" hidden="false" customHeight="false" outlineLevel="0" collapsed="false">
      <c r="R341" s="1" t="s">
        <v>359</v>
      </c>
      <c r="V341" s="55" t="s">
        <v>150</v>
      </c>
      <c r="X341" s="57" t="n">
        <v>3</v>
      </c>
      <c r="Y341" s="1" t="n">
        <v>233.9</v>
      </c>
      <c r="Z341" s="28" t="n">
        <f aca="false">X341*Y341</f>
        <v>701.7</v>
      </c>
    </row>
    <row r="342" customFormat="false" ht="15" hidden="false" customHeight="false" outlineLevel="0" collapsed="false">
      <c r="R342" s="1" t="s">
        <v>360</v>
      </c>
      <c r="V342" s="55" t="s">
        <v>150</v>
      </c>
      <c r="X342" s="57" t="n">
        <v>112</v>
      </c>
      <c r="Y342" s="1" t="n">
        <v>5.93</v>
      </c>
      <c r="Z342" s="28" t="n">
        <f aca="false">X342*Y342</f>
        <v>664.16</v>
      </c>
    </row>
    <row r="343" customFormat="false" ht="15" hidden="false" customHeight="false" outlineLevel="0" collapsed="false">
      <c r="R343" s="1" t="s">
        <v>361</v>
      </c>
      <c r="V343" s="55" t="s">
        <v>150</v>
      </c>
      <c r="X343" s="57" t="n">
        <v>2</v>
      </c>
      <c r="Y343" s="1" t="n">
        <v>21.19</v>
      </c>
      <c r="Z343" s="28" t="n">
        <f aca="false">X343*Y343</f>
        <v>42.38</v>
      </c>
    </row>
    <row r="344" customFormat="false" ht="15" hidden="false" customHeight="false" outlineLevel="0" collapsed="false">
      <c r="R344" s="1" t="s">
        <v>362</v>
      </c>
      <c r="V344" s="55" t="s">
        <v>363</v>
      </c>
      <c r="X344" s="57" t="n">
        <v>4</v>
      </c>
      <c r="Y344" s="1" t="n">
        <v>21.19</v>
      </c>
      <c r="Z344" s="28" t="n">
        <f aca="false">X344*Y344</f>
        <v>84.76</v>
      </c>
    </row>
    <row r="345" customFormat="false" ht="15" hidden="false" customHeight="false" outlineLevel="0" collapsed="false">
      <c r="R345" s="1" t="s">
        <v>364</v>
      </c>
      <c r="V345" s="55" t="s">
        <v>150</v>
      </c>
      <c r="X345" s="57" t="n">
        <v>75</v>
      </c>
      <c r="Y345" s="1" t="n">
        <v>53.31</v>
      </c>
      <c r="Z345" s="28" t="n">
        <f aca="false">X345*Y345</f>
        <v>3998.25</v>
      </c>
      <c r="AH345" s="9"/>
    </row>
    <row r="346" customFormat="false" ht="15" hidden="false" customHeight="false" outlineLevel="0" collapsed="false">
      <c r="R346" s="1" t="s">
        <v>365</v>
      </c>
      <c r="V346" s="55" t="s">
        <v>150</v>
      </c>
      <c r="X346" s="57" t="n">
        <v>30</v>
      </c>
      <c r="Y346" s="1" t="n">
        <v>24.49</v>
      </c>
      <c r="Z346" s="28" t="n">
        <f aca="false">X346*Y346</f>
        <v>734.7</v>
      </c>
    </row>
    <row r="347" customFormat="false" ht="15" hidden="false" customHeight="false" outlineLevel="0" collapsed="false">
      <c r="R347" s="1" t="s">
        <v>366</v>
      </c>
      <c r="V347" s="55" t="s">
        <v>150</v>
      </c>
      <c r="X347" s="57" t="n">
        <v>20</v>
      </c>
      <c r="Y347" s="1" t="n">
        <v>33.81</v>
      </c>
      <c r="Z347" s="28" t="n">
        <f aca="false">X347*Y347</f>
        <v>676.2</v>
      </c>
    </row>
    <row r="348" customFormat="false" ht="15" hidden="false" customHeight="false" outlineLevel="0" collapsed="false">
      <c r="R348" s="1" t="s">
        <v>367</v>
      </c>
      <c r="V348" s="55" t="s">
        <v>351</v>
      </c>
      <c r="X348" s="57" t="n">
        <v>112</v>
      </c>
      <c r="Y348" s="1" t="n">
        <v>2.54</v>
      </c>
      <c r="Z348" s="28" t="n">
        <f aca="false">X348*Y348</f>
        <v>284.48</v>
      </c>
    </row>
    <row r="349" customFormat="false" ht="15" hidden="false" customHeight="false" outlineLevel="0" collapsed="false">
      <c r="R349" s="1" t="s">
        <v>368</v>
      </c>
      <c r="V349" s="55" t="s">
        <v>150</v>
      </c>
      <c r="X349" s="57" t="n">
        <v>40</v>
      </c>
      <c r="Y349" s="1" t="n">
        <v>22.88</v>
      </c>
      <c r="Z349" s="28" t="n">
        <f aca="false">X349*Y349</f>
        <v>915.2</v>
      </c>
    </row>
    <row r="350" customFormat="false" ht="15" hidden="false" customHeight="false" outlineLevel="0" collapsed="false">
      <c r="R350" s="1" t="s">
        <v>369</v>
      </c>
      <c r="V350" s="55" t="s">
        <v>150</v>
      </c>
      <c r="X350" s="57" t="n">
        <v>112</v>
      </c>
      <c r="Y350" s="1" t="n">
        <v>59.32</v>
      </c>
      <c r="Z350" s="28" t="n">
        <f aca="false">X350*Y350</f>
        <v>6643.84</v>
      </c>
      <c r="AH350" s="9"/>
    </row>
    <row r="351" customFormat="false" ht="15" hidden="false" customHeight="false" outlineLevel="0" collapsed="false">
      <c r="R351" s="1" t="s">
        <v>370</v>
      </c>
      <c r="V351" s="55" t="s">
        <v>351</v>
      </c>
      <c r="X351" s="57" t="n">
        <v>112</v>
      </c>
      <c r="Y351" s="1" t="n">
        <v>50.76</v>
      </c>
      <c r="Z351" s="28" t="n">
        <f aca="false">X351*Y351</f>
        <v>5685.12</v>
      </c>
      <c r="AH351" s="9"/>
    </row>
    <row r="352" customFormat="false" ht="15" hidden="false" customHeight="false" outlineLevel="0" collapsed="false">
      <c r="Q352" s="60"/>
      <c r="R352" s="60"/>
      <c r="S352" s="60"/>
      <c r="T352" s="60"/>
      <c r="U352" s="60"/>
      <c r="V352" s="62"/>
      <c r="W352" s="63"/>
      <c r="X352" s="64"/>
      <c r="Y352" s="65"/>
      <c r="Z352" s="61" t="n">
        <f aca="false">SUM(Z332:Z351)</f>
        <v>41043.35</v>
      </c>
    </row>
    <row r="354" customFormat="false" ht="15" hidden="false" customHeight="false" outlineLevel="0" collapsed="false">
      <c r="Q354" s="14" t="s">
        <v>334</v>
      </c>
      <c r="R354" s="14"/>
      <c r="S354" s="14" t="s">
        <v>1265</v>
      </c>
      <c r="T354" s="14"/>
      <c r="U354" s="14"/>
      <c r="V354" s="14"/>
      <c r="W354" s="14"/>
      <c r="X354" s="14"/>
      <c r="Y354" s="14"/>
    </row>
    <row r="355" customFormat="false" ht="15" hidden="false" customHeight="false" outlineLevel="0" collapsed="false">
      <c r="Q355" s="14" t="s">
        <v>279</v>
      </c>
      <c r="R355" s="14" t="s">
        <v>347</v>
      </c>
      <c r="S355" s="36" t="s">
        <v>281</v>
      </c>
      <c r="T355" s="52" t="n">
        <v>1</v>
      </c>
      <c r="U355" s="36" t="s">
        <v>282</v>
      </c>
      <c r="V355" s="52" t="n">
        <f aca="false">T355</f>
        <v>1</v>
      </c>
      <c r="W355" s="14" t="s">
        <v>283</v>
      </c>
      <c r="Y355" s="36" t="s">
        <v>348</v>
      </c>
      <c r="Z355" s="53" t="n">
        <f aca="false">Z364</f>
        <v>3824.87</v>
      </c>
    </row>
    <row r="356" customFormat="false" ht="15" hidden="false" customHeight="false" outlineLevel="0" collapsed="false">
      <c r="Q356" s="14" t="s">
        <v>284</v>
      </c>
      <c r="R356" s="14" t="s">
        <v>285</v>
      </c>
      <c r="V356" s="36" t="s">
        <v>123</v>
      </c>
      <c r="W356" s="36" t="s">
        <v>286</v>
      </c>
      <c r="X356" s="36" t="s">
        <v>287</v>
      </c>
      <c r="Y356" s="36" t="s">
        <v>288</v>
      </c>
      <c r="Z356" s="36" t="s">
        <v>289</v>
      </c>
    </row>
    <row r="357" customFormat="false" ht="15" hidden="false" customHeight="false" outlineLevel="0" collapsed="false">
      <c r="R357" s="54" t="s">
        <v>295</v>
      </c>
    </row>
    <row r="358" customFormat="false" ht="15" hidden="false" customHeight="false" outlineLevel="0" collapsed="false">
      <c r="R358" s="1" t="s">
        <v>372</v>
      </c>
      <c r="V358" s="55" t="s">
        <v>373</v>
      </c>
      <c r="W358" s="56"/>
      <c r="X358" s="57" t="n">
        <v>16</v>
      </c>
      <c r="Y358" s="1" t="n">
        <v>51.69</v>
      </c>
      <c r="Z358" s="28" t="n">
        <f aca="false">X358*Y358</f>
        <v>827.04</v>
      </c>
    </row>
    <row r="359" customFormat="false" ht="15" hidden="false" customHeight="false" outlineLevel="0" collapsed="false">
      <c r="R359" s="1" t="s">
        <v>374</v>
      </c>
      <c r="V359" s="55" t="s">
        <v>150</v>
      </c>
      <c r="X359" s="57" t="n">
        <v>15</v>
      </c>
      <c r="Y359" s="1" t="n">
        <v>66.53</v>
      </c>
      <c r="Z359" s="28" t="n">
        <f aca="false">X359*Y359</f>
        <v>997.95</v>
      </c>
    </row>
    <row r="360" customFormat="false" ht="15" hidden="false" customHeight="false" outlineLevel="0" collapsed="false">
      <c r="R360" s="1" t="s">
        <v>375</v>
      </c>
      <c r="V360" s="55" t="s">
        <v>306</v>
      </c>
      <c r="X360" s="57" t="n">
        <v>50</v>
      </c>
      <c r="Y360" s="1" t="n">
        <v>22.03</v>
      </c>
      <c r="Z360" s="28" t="n">
        <f aca="false">X360*Y360</f>
        <v>1101.5</v>
      </c>
    </row>
    <row r="361" customFormat="false" ht="15" hidden="false" customHeight="false" outlineLevel="0" collapsed="false">
      <c r="R361" s="1" t="s">
        <v>376</v>
      </c>
      <c r="V361" s="55" t="s">
        <v>373</v>
      </c>
      <c r="X361" s="57" t="n">
        <v>10</v>
      </c>
      <c r="Y361" s="1" t="n">
        <v>62.71</v>
      </c>
      <c r="Z361" s="28" t="n">
        <f aca="false">X361*Y361</f>
        <v>627.1</v>
      </c>
    </row>
    <row r="362" customFormat="false" ht="15" hidden="false" customHeight="false" outlineLevel="0" collapsed="false">
      <c r="R362" s="1" t="s">
        <v>377</v>
      </c>
      <c r="V362" s="55" t="s">
        <v>150</v>
      </c>
      <c r="X362" s="57" t="n">
        <v>200</v>
      </c>
      <c r="Y362" s="1" t="n">
        <v>0.17</v>
      </c>
      <c r="Z362" s="28" t="n">
        <f aca="false">X362*Y362</f>
        <v>34</v>
      </c>
    </row>
    <row r="363" customFormat="false" ht="15" hidden="false" customHeight="false" outlineLevel="0" collapsed="false">
      <c r="R363" s="1" t="s">
        <v>378</v>
      </c>
      <c r="V363" s="55" t="s">
        <v>373</v>
      </c>
      <c r="X363" s="57" t="n">
        <v>2</v>
      </c>
      <c r="Y363" s="1" t="n">
        <v>118.64</v>
      </c>
      <c r="Z363" s="28" t="n">
        <f aca="false">X363*Y363</f>
        <v>237.28</v>
      </c>
    </row>
    <row r="364" customFormat="false" ht="15" hidden="false" customHeight="false" outlineLevel="0" collapsed="false">
      <c r="Q364" s="60"/>
      <c r="R364" s="60"/>
      <c r="S364" s="60"/>
      <c r="T364" s="60"/>
      <c r="U364" s="60"/>
      <c r="V364" s="62"/>
      <c r="W364" s="63"/>
      <c r="X364" s="64"/>
      <c r="Y364" s="65"/>
      <c r="Z364" s="61" t="n">
        <f aca="false">SUM(Z358:Z363)</f>
        <v>3824.87</v>
      </c>
    </row>
    <row r="365" customFormat="false" ht="15" hidden="false" customHeight="false" outlineLevel="0" collapsed="false">
      <c r="V365" s="55"/>
      <c r="X365" s="57"/>
      <c r="Z365" s="28"/>
    </row>
    <row r="366" customFormat="false" ht="15" hidden="false" customHeight="false" outlineLevel="0" collapsed="false">
      <c r="Q366" s="14" t="s">
        <v>334</v>
      </c>
      <c r="R366" s="14"/>
      <c r="S366" s="14" t="s">
        <v>190</v>
      </c>
      <c r="T366" s="14"/>
      <c r="U366" s="14"/>
      <c r="V366" s="14"/>
      <c r="W366" s="14"/>
      <c r="X366" s="14"/>
      <c r="Y366" s="14"/>
    </row>
    <row r="367" customFormat="false" ht="15" hidden="false" customHeight="false" outlineLevel="0" collapsed="false">
      <c r="Q367" s="14" t="s">
        <v>279</v>
      </c>
      <c r="R367" s="14" t="s">
        <v>347</v>
      </c>
      <c r="S367" s="36" t="s">
        <v>281</v>
      </c>
      <c r="T367" s="52" t="n">
        <v>1</v>
      </c>
      <c r="U367" s="36" t="s">
        <v>282</v>
      </c>
      <c r="V367" s="52" t="n">
        <f aca="false">T367</f>
        <v>1</v>
      </c>
      <c r="W367" s="14" t="s">
        <v>283</v>
      </c>
      <c r="Y367" s="36" t="s">
        <v>348</v>
      </c>
      <c r="Z367" s="53" t="n">
        <f aca="false">Z378</f>
        <v>6076.5</v>
      </c>
    </row>
    <row r="368" customFormat="false" ht="15" hidden="false" customHeight="false" outlineLevel="0" collapsed="false">
      <c r="Q368" s="14" t="s">
        <v>284</v>
      </c>
      <c r="R368" s="14" t="s">
        <v>285</v>
      </c>
      <c r="V368" s="36" t="s">
        <v>123</v>
      </c>
      <c r="W368" s="36" t="s">
        <v>286</v>
      </c>
      <c r="X368" s="36" t="s">
        <v>287</v>
      </c>
      <c r="Y368" s="36" t="s">
        <v>288</v>
      </c>
      <c r="Z368" s="36" t="s">
        <v>289</v>
      </c>
    </row>
    <row r="369" customFormat="false" ht="15" hidden="false" customHeight="false" outlineLevel="0" collapsed="false">
      <c r="R369" s="54" t="s">
        <v>295</v>
      </c>
    </row>
    <row r="370" customFormat="false" ht="15" hidden="false" customHeight="false" outlineLevel="0" collapsed="false">
      <c r="R370" s="1" t="s">
        <v>379</v>
      </c>
      <c r="V370" s="55" t="s">
        <v>150</v>
      </c>
      <c r="W370" s="56"/>
      <c r="X370" s="57" t="n">
        <v>15</v>
      </c>
      <c r="Y370" s="1" t="n">
        <v>29.66</v>
      </c>
      <c r="Z370" s="28" t="n">
        <f aca="false">X370*Y370</f>
        <v>444.9</v>
      </c>
      <c r="AC370" s="14"/>
      <c r="AD370" s="14"/>
      <c r="AE370" s="14"/>
      <c r="AF370" s="14"/>
      <c r="AG370" s="14"/>
      <c r="AH370" s="14"/>
    </row>
    <row r="371" customFormat="false" ht="15" hidden="false" customHeight="false" outlineLevel="0" collapsed="false">
      <c r="R371" s="1" t="s">
        <v>380</v>
      </c>
      <c r="V371" s="55" t="s">
        <v>150</v>
      </c>
      <c r="X371" s="57" t="n">
        <v>15</v>
      </c>
      <c r="Y371" s="1" t="n">
        <v>21.19</v>
      </c>
      <c r="Z371" s="28" t="n">
        <f aca="false">X371*Y371</f>
        <v>317.85</v>
      </c>
    </row>
    <row r="372" customFormat="false" ht="15" hidden="false" customHeight="false" outlineLevel="0" collapsed="false">
      <c r="R372" s="1" t="s">
        <v>381</v>
      </c>
      <c r="V372" s="55" t="s">
        <v>150</v>
      </c>
      <c r="X372" s="57" t="n">
        <v>15</v>
      </c>
      <c r="Y372" s="1" t="n">
        <v>38.14</v>
      </c>
      <c r="Z372" s="28" t="n">
        <f aca="false">X372*Y372</f>
        <v>572.1</v>
      </c>
    </row>
    <row r="373" customFormat="false" ht="15" hidden="false" customHeight="false" outlineLevel="0" collapsed="false">
      <c r="R373" s="1" t="s">
        <v>382</v>
      </c>
      <c r="V373" s="55" t="s">
        <v>150</v>
      </c>
      <c r="X373" s="57" t="n">
        <v>4</v>
      </c>
      <c r="Y373" s="1" t="n">
        <v>38.14</v>
      </c>
      <c r="Z373" s="28" t="n">
        <f aca="false">X373*Y373</f>
        <v>152.56</v>
      </c>
    </row>
    <row r="374" customFormat="false" ht="15" hidden="false" customHeight="false" outlineLevel="0" collapsed="false">
      <c r="R374" s="1" t="s">
        <v>383</v>
      </c>
      <c r="V374" s="55" t="s">
        <v>150</v>
      </c>
      <c r="X374" s="57" t="n">
        <v>4</v>
      </c>
      <c r="Y374" s="1" t="n">
        <v>29.66</v>
      </c>
      <c r="Z374" s="28" t="n">
        <f aca="false">X374*Y374</f>
        <v>118.64</v>
      </c>
    </row>
    <row r="375" customFormat="false" ht="15" hidden="false" customHeight="false" outlineLevel="0" collapsed="false">
      <c r="R375" s="1" t="s">
        <v>384</v>
      </c>
      <c r="V375" s="55" t="s">
        <v>150</v>
      </c>
      <c r="X375" s="57" t="n">
        <v>5</v>
      </c>
      <c r="Y375" s="1" t="n">
        <v>67.8</v>
      </c>
      <c r="Z375" s="28" t="n">
        <f aca="false">X375*Y375</f>
        <v>339</v>
      </c>
    </row>
    <row r="376" customFormat="false" ht="15" hidden="false" customHeight="false" outlineLevel="0" collapsed="false">
      <c r="R376" s="1" t="s">
        <v>385</v>
      </c>
      <c r="V376" s="55" t="s">
        <v>150</v>
      </c>
      <c r="X376" s="57" t="n">
        <v>15</v>
      </c>
      <c r="Y376" s="1" t="n">
        <v>21.19</v>
      </c>
      <c r="Z376" s="28" t="n">
        <f aca="false">X376*Y376</f>
        <v>317.85</v>
      </c>
    </row>
    <row r="377" customFormat="false" ht="15" hidden="false" customHeight="false" outlineLevel="0" collapsed="false">
      <c r="R377" s="1" t="s">
        <v>386</v>
      </c>
      <c r="V377" s="55" t="s">
        <v>150</v>
      </c>
      <c r="X377" s="57" t="n">
        <v>15</v>
      </c>
      <c r="Y377" s="1" t="n">
        <v>254.24</v>
      </c>
      <c r="Z377" s="28" t="n">
        <f aca="false">X377*Y377</f>
        <v>3813.6</v>
      </c>
    </row>
    <row r="378" customFormat="false" ht="15" hidden="false" customHeight="false" outlineLevel="0" collapsed="false">
      <c r="Q378" s="60"/>
      <c r="R378" s="60"/>
      <c r="S378" s="60"/>
      <c r="T378" s="60"/>
      <c r="U378" s="60"/>
      <c r="V378" s="62"/>
      <c r="W378" s="63"/>
      <c r="X378" s="64"/>
      <c r="Y378" s="65"/>
      <c r="Z378" s="61" t="n">
        <f aca="false">SUM(Z370:Z377)</f>
        <v>6076.5</v>
      </c>
      <c r="AH378" s="9"/>
    </row>
    <row r="380" customFormat="false" ht="15" hidden="false" customHeight="false" outlineLevel="0" collapsed="false">
      <c r="Q380" s="14" t="s">
        <v>334</v>
      </c>
      <c r="R380" s="14"/>
      <c r="S380" s="14" t="s">
        <v>192</v>
      </c>
      <c r="T380" s="14"/>
      <c r="U380" s="14"/>
      <c r="V380" s="14"/>
      <c r="W380" s="14"/>
      <c r="X380" s="14"/>
      <c r="Y380" s="14"/>
    </row>
    <row r="381" customFormat="false" ht="15" hidden="false" customHeight="false" outlineLevel="0" collapsed="false">
      <c r="Q381" s="14" t="s">
        <v>279</v>
      </c>
      <c r="R381" s="14" t="s">
        <v>347</v>
      </c>
      <c r="S381" s="36" t="s">
        <v>281</v>
      </c>
      <c r="T381" s="52" t="n">
        <v>1</v>
      </c>
      <c r="U381" s="36" t="s">
        <v>282</v>
      </c>
      <c r="V381" s="52" t="n">
        <f aca="false">T381</f>
        <v>1</v>
      </c>
      <c r="W381" s="14" t="s">
        <v>283</v>
      </c>
      <c r="Y381" s="36" t="s">
        <v>348</v>
      </c>
      <c r="Z381" s="53" t="n">
        <f aca="false">Z387</f>
        <v>18386.64</v>
      </c>
    </row>
    <row r="382" customFormat="false" ht="15" hidden="false" customHeight="false" outlineLevel="0" collapsed="false">
      <c r="Q382" s="14" t="s">
        <v>284</v>
      </c>
      <c r="R382" s="14" t="s">
        <v>285</v>
      </c>
      <c r="V382" s="36" t="s">
        <v>123</v>
      </c>
      <c r="W382" s="36" t="s">
        <v>286</v>
      </c>
      <c r="X382" s="36" t="s">
        <v>287</v>
      </c>
      <c r="Y382" s="36" t="s">
        <v>288</v>
      </c>
      <c r="Z382" s="36" t="s">
        <v>289</v>
      </c>
    </row>
    <row r="383" customFormat="false" ht="15" hidden="false" customHeight="false" outlineLevel="0" collapsed="false">
      <c r="R383" s="54" t="s">
        <v>295</v>
      </c>
    </row>
    <row r="384" customFormat="false" ht="15" hidden="false" customHeight="false" outlineLevel="0" collapsed="false">
      <c r="R384" s="1" t="s">
        <v>387</v>
      </c>
      <c r="V384" s="55" t="s">
        <v>150</v>
      </c>
      <c r="W384" s="56"/>
      <c r="X384" s="57" t="n">
        <v>8</v>
      </c>
      <c r="Y384" s="1" t="n">
        <v>423.73</v>
      </c>
      <c r="Z384" s="28" t="n">
        <f aca="false">X384*Y384</f>
        <v>3389.84</v>
      </c>
    </row>
    <row r="385" customFormat="false" ht="15" hidden="false" customHeight="false" outlineLevel="0" collapsed="false">
      <c r="R385" s="1" t="s">
        <v>388</v>
      </c>
      <c r="V385" s="55" t="s">
        <v>150</v>
      </c>
      <c r="X385" s="57" t="n">
        <v>112</v>
      </c>
      <c r="Y385" s="1" t="n">
        <v>127.12</v>
      </c>
      <c r="Z385" s="28" t="n">
        <f aca="false">X385*Y385</f>
        <v>14237.44</v>
      </c>
    </row>
    <row r="386" customFormat="false" ht="15" hidden="false" customHeight="false" outlineLevel="0" collapsed="false">
      <c r="R386" s="1" t="s">
        <v>389</v>
      </c>
      <c r="V386" s="55" t="s">
        <v>150</v>
      </c>
      <c r="X386" s="57" t="n">
        <v>112</v>
      </c>
      <c r="Y386" s="1" t="n">
        <v>6.78</v>
      </c>
      <c r="Z386" s="28" t="n">
        <f aca="false">X386*Y386</f>
        <v>759.36</v>
      </c>
    </row>
    <row r="387" customFormat="false" ht="15" hidden="false" customHeight="false" outlineLevel="0" collapsed="false">
      <c r="Q387" s="60"/>
      <c r="R387" s="60"/>
      <c r="S387" s="60"/>
      <c r="T387" s="60"/>
      <c r="U387" s="60"/>
      <c r="V387" s="62"/>
      <c r="W387" s="63"/>
      <c r="X387" s="64"/>
      <c r="Y387" s="65"/>
      <c r="Z387" s="61" t="n">
        <f aca="false">SUM(Z384:Z386)</f>
        <v>18386.64</v>
      </c>
    </row>
    <row r="388" customFormat="false" ht="15" hidden="false" customHeight="false" outlineLevel="0" collapsed="false">
      <c r="V388" s="55"/>
      <c r="X388" s="57"/>
      <c r="Z388" s="28"/>
    </row>
    <row r="389" customFormat="false" ht="15" hidden="false" customHeight="false" outlineLevel="0" collapsed="false">
      <c r="Q389" s="14" t="s">
        <v>334</v>
      </c>
      <c r="R389" s="14"/>
      <c r="S389" s="14" t="s">
        <v>390</v>
      </c>
      <c r="T389" s="14"/>
      <c r="U389" s="14"/>
      <c r="V389" s="14"/>
      <c r="W389" s="14"/>
      <c r="X389" s="14"/>
      <c r="Y389" s="14"/>
    </row>
    <row r="390" customFormat="false" ht="15" hidden="false" customHeight="false" outlineLevel="0" collapsed="false">
      <c r="Q390" s="14" t="s">
        <v>279</v>
      </c>
      <c r="R390" s="14" t="s">
        <v>347</v>
      </c>
      <c r="S390" s="36" t="s">
        <v>281</v>
      </c>
      <c r="T390" s="52" t="n">
        <v>1</v>
      </c>
      <c r="U390" s="36" t="s">
        <v>282</v>
      </c>
      <c r="V390" s="52" t="n">
        <f aca="false">T390</f>
        <v>1</v>
      </c>
      <c r="W390" s="14" t="s">
        <v>283</v>
      </c>
      <c r="Y390" s="36" t="s">
        <v>348</v>
      </c>
      <c r="Z390" s="53" t="n">
        <f aca="false">Z399</f>
        <v>1478.8</v>
      </c>
    </row>
    <row r="391" customFormat="false" ht="15" hidden="false" customHeight="false" outlineLevel="0" collapsed="false">
      <c r="Q391" s="14" t="s">
        <v>284</v>
      </c>
      <c r="R391" s="14" t="s">
        <v>285</v>
      </c>
      <c r="V391" s="36" t="s">
        <v>123</v>
      </c>
      <c r="W391" s="36" t="s">
        <v>286</v>
      </c>
      <c r="X391" s="36" t="s">
        <v>287</v>
      </c>
      <c r="Y391" s="36" t="s">
        <v>288</v>
      </c>
      <c r="Z391" s="36" t="s">
        <v>289</v>
      </c>
    </row>
    <row r="392" customFormat="false" ht="15" hidden="false" customHeight="false" outlineLevel="0" collapsed="false">
      <c r="R392" s="54" t="s">
        <v>295</v>
      </c>
      <c r="AB392" s="14"/>
      <c r="AC392" s="14"/>
      <c r="AD392" s="14"/>
      <c r="AE392" s="14"/>
      <c r="AF392" s="14"/>
      <c r="AG392" s="14"/>
    </row>
    <row r="393" customFormat="false" ht="15" hidden="false" customHeight="false" outlineLevel="0" collapsed="false">
      <c r="R393" s="1" t="s">
        <v>391</v>
      </c>
      <c r="V393" s="55" t="s">
        <v>150</v>
      </c>
      <c r="W393" s="56"/>
      <c r="X393" s="57" t="n">
        <v>1</v>
      </c>
      <c r="Y393" s="1" t="n">
        <v>211.86</v>
      </c>
      <c r="Z393" s="28" t="n">
        <f aca="false">X393*Y393</f>
        <v>211.86</v>
      </c>
    </row>
    <row r="394" customFormat="false" ht="15" hidden="false" customHeight="false" outlineLevel="0" collapsed="false">
      <c r="R394" s="1" t="s">
        <v>392</v>
      </c>
      <c r="V394" s="55" t="s">
        <v>150</v>
      </c>
      <c r="X394" s="57" t="n">
        <v>2</v>
      </c>
      <c r="Y394" s="1" t="n">
        <v>76.27</v>
      </c>
      <c r="Z394" s="28" t="n">
        <f aca="false">X394*Y394</f>
        <v>152.54</v>
      </c>
    </row>
    <row r="395" customFormat="false" ht="15" hidden="false" customHeight="false" outlineLevel="0" collapsed="false">
      <c r="R395" s="1" t="s">
        <v>393</v>
      </c>
      <c r="V395" s="55" t="s">
        <v>150</v>
      </c>
      <c r="X395" s="57" t="n">
        <v>1</v>
      </c>
      <c r="Y395" s="1" t="n">
        <v>593.22</v>
      </c>
      <c r="Z395" s="28" t="n">
        <f aca="false">X395*Y395</f>
        <v>593.22</v>
      </c>
    </row>
    <row r="396" customFormat="false" ht="15" hidden="false" customHeight="false" outlineLevel="0" collapsed="false">
      <c r="R396" s="1" t="s">
        <v>394</v>
      </c>
      <c r="V396" s="55" t="s">
        <v>150</v>
      </c>
      <c r="X396" s="57" t="n">
        <v>1</v>
      </c>
      <c r="Y396" s="1" t="n">
        <v>38.14</v>
      </c>
      <c r="Z396" s="28" t="n">
        <f aca="false">X396*Y396</f>
        <v>38.14</v>
      </c>
    </row>
    <row r="397" customFormat="false" ht="15" hidden="false" customHeight="false" outlineLevel="0" collapsed="false">
      <c r="R397" s="1" t="s">
        <v>395</v>
      </c>
      <c r="V397" s="55" t="s">
        <v>150</v>
      </c>
      <c r="X397" s="57" t="n">
        <v>2</v>
      </c>
      <c r="Y397" s="1" t="n">
        <v>135.59</v>
      </c>
      <c r="Z397" s="28" t="n">
        <f aca="false">X397*Y397</f>
        <v>271.18</v>
      </c>
    </row>
    <row r="398" customFormat="false" ht="15" hidden="false" customHeight="false" outlineLevel="0" collapsed="false">
      <c r="R398" s="1" t="s">
        <v>396</v>
      </c>
      <c r="V398" s="55" t="s">
        <v>150</v>
      </c>
      <c r="X398" s="57" t="n">
        <v>1</v>
      </c>
      <c r="Y398" s="1" t="n">
        <v>211.86</v>
      </c>
      <c r="Z398" s="28" t="n">
        <f aca="false">X398*Y398</f>
        <v>211.86</v>
      </c>
    </row>
    <row r="399" customFormat="false" ht="15" hidden="false" customHeight="false" outlineLevel="0" collapsed="false">
      <c r="Q399" s="60"/>
      <c r="R399" s="60"/>
      <c r="S399" s="60"/>
      <c r="T399" s="60"/>
      <c r="U399" s="60"/>
      <c r="V399" s="62"/>
      <c r="W399" s="63"/>
      <c r="X399" s="64"/>
      <c r="Y399" s="65"/>
      <c r="Z399" s="61" t="n">
        <f aca="false">SUM(Z393:Z398)</f>
        <v>1478.8</v>
      </c>
    </row>
    <row r="400" customFormat="false" ht="15" hidden="false" customHeight="false" outlineLevel="0" collapsed="false">
      <c r="V400" s="55"/>
      <c r="X400" s="57"/>
      <c r="Z400" s="28"/>
    </row>
    <row r="401" customFormat="false" ht="15" hidden="false" customHeight="false" outlineLevel="0" collapsed="false">
      <c r="Q401" s="14" t="s">
        <v>334</v>
      </c>
      <c r="R401" s="14"/>
      <c r="S401" s="14" t="s">
        <v>390</v>
      </c>
      <c r="T401" s="14"/>
      <c r="U401" s="14"/>
      <c r="V401" s="14"/>
      <c r="W401" s="14"/>
      <c r="X401" s="14"/>
      <c r="Y401" s="14"/>
    </row>
    <row r="402" customFormat="false" ht="15" hidden="false" customHeight="false" outlineLevel="0" collapsed="false">
      <c r="Q402" s="14" t="s">
        <v>279</v>
      </c>
      <c r="R402" s="14" t="s">
        <v>326</v>
      </c>
      <c r="S402" s="36" t="s">
        <v>281</v>
      </c>
      <c r="T402" s="52" t="n">
        <v>1</v>
      </c>
      <c r="U402" s="36" t="s">
        <v>282</v>
      </c>
      <c r="V402" s="52" t="n">
        <f aca="false">T402</f>
        <v>1</v>
      </c>
      <c r="W402" s="14" t="s">
        <v>283</v>
      </c>
      <c r="Y402" s="36" t="s">
        <v>150</v>
      </c>
      <c r="Z402" s="53" t="n">
        <f aca="false">Z407</f>
        <v>8515.8</v>
      </c>
    </row>
    <row r="403" customFormat="false" ht="15" hidden="false" customHeight="false" outlineLevel="0" collapsed="false">
      <c r="Q403" s="14" t="s">
        <v>284</v>
      </c>
      <c r="R403" s="14" t="s">
        <v>285</v>
      </c>
      <c r="V403" s="36" t="s">
        <v>123</v>
      </c>
      <c r="W403" s="36" t="s">
        <v>286</v>
      </c>
      <c r="X403" s="36" t="s">
        <v>287</v>
      </c>
      <c r="Y403" s="36" t="s">
        <v>288</v>
      </c>
      <c r="Z403" s="36" t="s">
        <v>289</v>
      </c>
    </row>
    <row r="404" customFormat="false" ht="15" hidden="false" customHeight="false" outlineLevel="0" collapsed="false">
      <c r="R404" s="54" t="s">
        <v>295</v>
      </c>
      <c r="AH404" s="9"/>
    </row>
    <row r="405" customFormat="false" ht="15" hidden="false" customHeight="false" outlineLevel="0" collapsed="false">
      <c r="R405" s="1" t="s">
        <v>398</v>
      </c>
      <c r="V405" s="55" t="s">
        <v>150</v>
      </c>
      <c r="W405" s="56"/>
      <c r="X405" s="57" t="n">
        <v>320</v>
      </c>
      <c r="Y405" s="1" t="n">
        <v>25.42</v>
      </c>
      <c r="Z405" s="28" t="n">
        <f aca="false">X405*Y405</f>
        <v>8134.4</v>
      </c>
    </row>
    <row r="406" customFormat="false" ht="15" hidden="false" customHeight="false" outlineLevel="0" collapsed="false">
      <c r="R406" s="1" t="s">
        <v>399</v>
      </c>
      <c r="V406" s="55" t="s">
        <v>150</v>
      </c>
      <c r="X406" s="57" t="n">
        <v>10</v>
      </c>
      <c r="Y406" s="1" t="n">
        <v>38.14</v>
      </c>
      <c r="Z406" s="28" t="n">
        <f aca="false">X406*Y406</f>
        <v>381.4</v>
      </c>
    </row>
    <row r="407" customFormat="false" ht="15" hidden="false" customHeight="false" outlineLevel="0" collapsed="false">
      <c r="Q407" s="60"/>
      <c r="R407" s="60"/>
      <c r="S407" s="60"/>
      <c r="T407" s="60"/>
      <c r="U407" s="60"/>
      <c r="V407" s="62"/>
      <c r="W407" s="63"/>
      <c r="X407" s="64"/>
      <c r="Y407" s="65"/>
      <c r="Z407" s="61" t="n">
        <f aca="false">SUM(Z405:Z406)</f>
        <v>8515.8</v>
      </c>
    </row>
    <row r="408" customFormat="false" ht="15" hidden="false" customHeight="false" outlineLevel="0" collapsed="false">
      <c r="V408" s="55"/>
      <c r="X408" s="57"/>
      <c r="Z408" s="28"/>
    </row>
    <row r="409" customFormat="false" ht="15" hidden="false" customHeight="false" outlineLevel="0" collapsed="false">
      <c r="Q409" s="14" t="s">
        <v>334</v>
      </c>
      <c r="R409" s="14"/>
      <c r="S409" s="14" t="s">
        <v>198</v>
      </c>
      <c r="T409" s="14"/>
      <c r="U409" s="14"/>
      <c r="V409" s="14"/>
      <c r="W409" s="14"/>
      <c r="X409" s="14"/>
      <c r="Y409" s="14"/>
    </row>
    <row r="410" customFormat="false" ht="15" hidden="false" customHeight="false" outlineLevel="0" collapsed="false">
      <c r="Q410" s="14" t="s">
        <v>279</v>
      </c>
      <c r="R410" s="14" t="s">
        <v>326</v>
      </c>
      <c r="S410" s="36" t="s">
        <v>281</v>
      </c>
      <c r="T410" s="52" t="n">
        <v>1</v>
      </c>
      <c r="U410" s="36" t="s">
        <v>282</v>
      </c>
      <c r="V410" s="52" t="n">
        <f aca="false">T410</f>
        <v>1</v>
      </c>
      <c r="W410" s="14" t="s">
        <v>283</v>
      </c>
      <c r="Y410" s="36" t="s">
        <v>150</v>
      </c>
      <c r="Z410" s="53" t="n">
        <f aca="false">Z415</f>
        <v>29152.28</v>
      </c>
      <c r="AC410" s="14"/>
      <c r="AD410" s="14"/>
      <c r="AE410" s="14"/>
      <c r="AF410" s="14"/>
      <c r="AG410" s="14"/>
      <c r="AH410" s="14"/>
    </row>
    <row r="411" customFormat="false" ht="15" hidden="false" customHeight="false" outlineLevel="0" collapsed="false">
      <c r="Q411" s="14" t="s">
        <v>284</v>
      </c>
      <c r="R411" s="14" t="s">
        <v>285</v>
      </c>
      <c r="V411" s="36" t="s">
        <v>123</v>
      </c>
      <c r="W411" s="36" t="s">
        <v>286</v>
      </c>
      <c r="X411" s="36" t="s">
        <v>287</v>
      </c>
      <c r="Y411" s="36" t="s">
        <v>288</v>
      </c>
      <c r="Z411" s="36" t="s">
        <v>289</v>
      </c>
      <c r="AH411" s="9"/>
    </row>
    <row r="412" customFormat="false" ht="15" hidden="false" customHeight="false" outlineLevel="0" collapsed="false">
      <c r="R412" s="54" t="s">
        <v>295</v>
      </c>
      <c r="AH412" s="9"/>
    </row>
    <row r="413" customFormat="false" ht="15" hidden="false" customHeight="false" outlineLevel="0" collapsed="false">
      <c r="R413" s="1" t="s">
        <v>400</v>
      </c>
      <c r="V413" s="55" t="s">
        <v>150</v>
      </c>
      <c r="W413" s="56"/>
      <c r="X413" s="57" t="n">
        <v>130</v>
      </c>
      <c r="Y413" s="1" t="n">
        <v>169.49</v>
      </c>
      <c r="Z413" s="28" t="n">
        <f aca="false">X413*Y413</f>
        <v>22033.7</v>
      </c>
    </row>
    <row r="414" customFormat="false" ht="15" hidden="false" customHeight="false" outlineLevel="0" collapsed="false">
      <c r="R414" s="1" t="s">
        <v>400</v>
      </c>
      <c r="V414" s="55" t="s">
        <v>150</v>
      </c>
      <c r="X414" s="57" t="n">
        <v>42</v>
      </c>
      <c r="Y414" s="1" t="n">
        <v>169.49</v>
      </c>
      <c r="Z414" s="28" t="n">
        <f aca="false">X414*Y414</f>
        <v>7118.58</v>
      </c>
    </row>
    <row r="415" customFormat="false" ht="15" hidden="false" customHeight="false" outlineLevel="0" collapsed="false">
      <c r="Q415" s="60"/>
      <c r="R415" s="60"/>
      <c r="S415" s="60"/>
      <c r="T415" s="60"/>
      <c r="U415" s="60"/>
      <c r="V415" s="62"/>
      <c r="W415" s="63"/>
      <c r="X415" s="64"/>
      <c r="Y415" s="65"/>
      <c r="Z415" s="61" t="n">
        <f aca="false">SUM(Z413:Z414)</f>
        <v>29152.28</v>
      </c>
    </row>
    <row r="417" customFormat="false" ht="15" hidden="false" customHeight="false" outlineLevel="0" collapsed="false">
      <c r="Q417" s="14" t="s">
        <v>278</v>
      </c>
      <c r="R417" s="14"/>
      <c r="S417" s="14" t="s">
        <v>401</v>
      </c>
      <c r="T417" s="14"/>
      <c r="U417" s="14"/>
      <c r="V417" s="14"/>
      <c r="W417" s="14"/>
      <c r="X417" s="14"/>
      <c r="Y417" s="14"/>
    </row>
    <row r="418" customFormat="false" ht="15" hidden="false" customHeight="false" outlineLevel="0" collapsed="false">
      <c r="Q418" s="14" t="s">
        <v>279</v>
      </c>
      <c r="R418" s="14" t="s">
        <v>280</v>
      </c>
      <c r="S418" s="36" t="s">
        <v>281</v>
      </c>
      <c r="T418" s="52" t="n">
        <v>50</v>
      </c>
      <c r="U418" s="36" t="s">
        <v>282</v>
      </c>
      <c r="V418" s="52" t="n">
        <f aca="false">T418</f>
        <v>50</v>
      </c>
      <c r="W418" s="14" t="s">
        <v>283</v>
      </c>
      <c r="Y418" s="36" t="s">
        <v>134</v>
      </c>
      <c r="Z418" s="53" t="n">
        <f aca="false">Z423++Z428</f>
        <v>32.55584</v>
      </c>
    </row>
    <row r="419" customFormat="false" ht="15" hidden="false" customHeight="false" outlineLevel="0" collapsed="false">
      <c r="Q419" s="14" t="s">
        <v>284</v>
      </c>
      <c r="R419" s="14" t="s">
        <v>285</v>
      </c>
      <c r="V419" s="36" t="s">
        <v>123</v>
      </c>
      <c r="W419" s="36" t="s">
        <v>286</v>
      </c>
      <c r="X419" s="36" t="s">
        <v>287</v>
      </c>
      <c r="Y419" s="36" t="s">
        <v>288</v>
      </c>
      <c r="Z419" s="36" t="s">
        <v>289</v>
      </c>
    </row>
    <row r="420" customFormat="false" ht="15" hidden="false" customHeight="false" outlineLevel="0" collapsed="false">
      <c r="R420" s="54" t="s">
        <v>290</v>
      </c>
    </row>
    <row r="421" customFormat="false" ht="15" hidden="false" customHeight="false" outlineLevel="0" collapsed="false">
      <c r="R421" s="1" t="s">
        <v>293</v>
      </c>
      <c r="V421" s="55" t="s">
        <v>292</v>
      </c>
      <c r="W421" s="56" t="n">
        <v>1</v>
      </c>
      <c r="X421" s="57" t="n">
        <f aca="false">W421*8/$T$418</f>
        <v>0.16</v>
      </c>
      <c r="Y421" s="28" t="n">
        <v>22.66</v>
      </c>
      <c r="Z421" s="28" t="n">
        <f aca="false">X421*Y421</f>
        <v>3.6256</v>
      </c>
    </row>
    <row r="422" customFormat="false" ht="15" hidden="false" customHeight="false" outlineLevel="0" collapsed="false">
      <c r="R422" s="1" t="s">
        <v>294</v>
      </c>
      <c r="V422" s="55" t="s">
        <v>292</v>
      </c>
      <c r="W422" s="56" t="n">
        <v>2</v>
      </c>
      <c r="X422" s="57" t="n">
        <f aca="false">W422*8/$T$418</f>
        <v>0.32</v>
      </c>
      <c r="Y422" s="28" t="n">
        <v>20.51</v>
      </c>
      <c r="Z422" s="28" t="n">
        <f aca="false">X422*Y422</f>
        <v>6.5632</v>
      </c>
    </row>
    <row r="423" customFormat="false" ht="15" hidden="false" customHeight="false" outlineLevel="0" collapsed="false">
      <c r="Z423" s="53" t="n">
        <f aca="false">SUM(Z421:Z422)</f>
        <v>10.1888</v>
      </c>
    </row>
    <row r="424" customFormat="false" ht="15" hidden="false" customHeight="false" outlineLevel="0" collapsed="false">
      <c r="R424" s="54" t="s">
        <v>318</v>
      </c>
    </row>
    <row r="425" customFormat="false" ht="15" hidden="false" customHeight="false" outlineLevel="0" collapsed="false">
      <c r="R425" s="1" t="s">
        <v>311</v>
      </c>
      <c r="V425" s="55" t="s">
        <v>312</v>
      </c>
      <c r="X425" s="57" t="n">
        <v>5</v>
      </c>
      <c r="Y425" s="28" t="n">
        <f aca="false">Z423</f>
        <v>10.1888</v>
      </c>
      <c r="Z425" s="28" t="n">
        <f aca="false">X425%*Y425</f>
        <v>0.50944</v>
      </c>
    </row>
    <row r="426" customFormat="false" ht="15" hidden="false" customHeight="false" outlineLevel="0" collapsed="false">
      <c r="R426" s="1" t="s">
        <v>402</v>
      </c>
      <c r="V426" s="55" t="s">
        <v>338</v>
      </c>
      <c r="W426" s="56" t="n">
        <v>1</v>
      </c>
      <c r="X426" s="57" t="n">
        <f aca="false">W426*8/$T$418</f>
        <v>0.16</v>
      </c>
      <c r="Y426" s="28" t="n">
        <v>85.76</v>
      </c>
      <c r="Z426" s="28" t="n">
        <f aca="false">X426*Y426</f>
        <v>13.7216</v>
      </c>
    </row>
    <row r="427" customFormat="false" ht="15" hidden="false" customHeight="false" outlineLevel="0" collapsed="false">
      <c r="R427" s="1" t="s">
        <v>403</v>
      </c>
      <c r="V427" s="55" t="s">
        <v>338</v>
      </c>
      <c r="W427" s="56" t="n">
        <v>5</v>
      </c>
      <c r="X427" s="57" t="n">
        <f aca="false">W427*8/$T$418</f>
        <v>0.8</v>
      </c>
      <c r="Y427" s="28" t="n">
        <v>10.17</v>
      </c>
      <c r="Z427" s="28" t="n">
        <f aca="false">X427*Y427</f>
        <v>8.136</v>
      </c>
    </row>
    <row r="428" customFormat="false" ht="15" hidden="false" customHeight="false" outlineLevel="0" collapsed="false">
      <c r="Q428" s="60"/>
      <c r="R428" s="60"/>
      <c r="S428" s="60"/>
      <c r="T428" s="60"/>
      <c r="U428" s="60"/>
      <c r="V428" s="60"/>
      <c r="W428" s="60"/>
      <c r="X428" s="60"/>
      <c r="Y428" s="60"/>
      <c r="Z428" s="61" t="n">
        <f aca="false">SUM(Z425:Z427)</f>
        <v>22.36704</v>
      </c>
    </row>
    <row r="430" customFormat="false" ht="15" hidden="false" customHeight="false" outlineLevel="0" collapsed="false">
      <c r="Q430" s="14" t="s">
        <v>278</v>
      </c>
      <c r="R430" s="14"/>
      <c r="S430" s="14" t="s">
        <v>404</v>
      </c>
      <c r="T430" s="14"/>
      <c r="U430" s="14"/>
      <c r="V430" s="14"/>
      <c r="W430" s="14"/>
      <c r="X430" s="14"/>
      <c r="Y430" s="14"/>
    </row>
    <row r="431" customFormat="false" ht="15" hidden="false" customHeight="false" outlineLevel="0" collapsed="false">
      <c r="Q431" s="14" t="s">
        <v>279</v>
      </c>
      <c r="R431" s="14" t="s">
        <v>326</v>
      </c>
      <c r="S431" s="36" t="s">
        <v>281</v>
      </c>
      <c r="T431" s="52" t="n">
        <v>6</v>
      </c>
      <c r="U431" s="36" t="s">
        <v>282</v>
      </c>
      <c r="V431" s="52" t="n">
        <f aca="false">T431</f>
        <v>6</v>
      </c>
      <c r="W431" s="14" t="s">
        <v>283</v>
      </c>
      <c r="Y431" s="36" t="s">
        <v>150</v>
      </c>
      <c r="Z431" s="53" t="n">
        <f aca="false">Z436++Z442+Z445</f>
        <v>115.47972</v>
      </c>
    </row>
    <row r="432" customFormat="false" ht="15" hidden="false" customHeight="false" outlineLevel="0" collapsed="false">
      <c r="Q432" s="14" t="s">
        <v>284</v>
      </c>
      <c r="R432" s="14" t="s">
        <v>285</v>
      </c>
      <c r="V432" s="36" t="s">
        <v>123</v>
      </c>
      <c r="W432" s="36" t="s">
        <v>286</v>
      </c>
      <c r="X432" s="36" t="s">
        <v>287</v>
      </c>
      <c r="Y432" s="36" t="s">
        <v>288</v>
      </c>
      <c r="Z432" s="36" t="s">
        <v>289</v>
      </c>
    </row>
    <row r="433" customFormat="false" ht="15" hidden="false" customHeight="false" outlineLevel="0" collapsed="false">
      <c r="R433" s="54" t="s">
        <v>290</v>
      </c>
    </row>
    <row r="434" customFormat="false" ht="15" hidden="false" customHeight="false" outlineLevel="0" collapsed="false">
      <c r="R434" s="1" t="s">
        <v>405</v>
      </c>
      <c r="V434" s="55" t="s">
        <v>292</v>
      </c>
      <c r="W434" s="56" t="n">
        <v>1</v>
      </c>
      <c r="X434" s="57" t="n">
        <f aca="false">W434*8/$T$431</f>
        <v>1.33333333333333</v>
      </c>
      <c r="Y434" s="28" t="n">
        <v>28.94</v>
      </c>
      <c r="Z434" s="28" t="n">
        <f aca="false">X434*Y434</f>
        <v>38.5866666666667</v>
      </c>
    </row>
    <row r="435" customFormat="false" ht="15" hidden="false" customHeight="false" outlineLevel="0" collapsed="false">
      <c r="R435" s="1" t="s">
        <v>294</v>
      </c>
      <c r="V435" s="55" t="s">
        <v>292</v>
      </c>
      <c r="W435" s="56" t="n">
        <v>1</v>
      </c>
      <c r="X435" s="57" t="n">
        <f aca="false">W435*8/$T$431</f>
        <v>1.33333333333333</v>
      </c>
      <c r="Y435" s="28" t="n">
        <v>20.51</v>
      </c>
      <c r="Z435" s="28" t="n">
        <f aca="false">X435*Y435</f>
        <v>27.3466666666667</v>
      </c>
    </row>
    <row r="436" customFormat="false" ht="15" hidden="false" customHeight="false" outlineLevel="0" collapsed="false">
      <c r="Z436" s="53" t="n">
        <f aca="false">SUM(Z434:Z435)</f>
        <v>65.9333333333333</v>
      </c>
    </row>
    <row r="437" customFormat="false" ht="15" hidden="false" customHeight="false" outlineLevel="0" collapsed="false">
      <c r="R437" s="54" t="s">
        <v>295</v>
      </c>
    </row>
    <row r="438" customFormat="false" ht="15" hidden="false" customHeight="false" outlineLevel="0" collapsed="false">
      <c r="R438" s="1" t="s">
        <v>406</v>
      </c>
      <c r="V438" s="55" t="s">
        <v>150</v>
      </c>
      <c r="X438" s="57" t="n">
        <v>1</v>
      </c>
      <c r="Y438" s="28" t="n">
        <v>10.85</v>
      </c>
      <c r="Z438" s="28" t="n">
        <f aca="false">X438*Y438</f>
        <v>10.85</v>
      </c>
    </row>
    <row r="439" customFormat="false" ht="15" hidden="false" customHeight="false" outlineLevel="0" collapsed="false">
      <c r="R439" s="1" t="s">
        <v>302</v>
      </c>
      <c r="V439" s="55" t="s">
        <v>297</v>
      </c>
      <c r="W439" s="56"/>
      <c r="X439" s="57" t="n">
        <v>0.012</v>
      </c>
      <c r="Y439" s="28" t="n">
        <v>5.51</v>
      </c>
      <c r="Z439" s="28" t="n">
        <f aca="false">X439*Y439</f>
        <v>0.06612</v>
      </c>
    </row>
    <row r="440" customFormat="false" ht="15" hidden="false" customHeight="false" outlineLevel="0" collapsed="false">
      <c r="R440" s="1" t="s">
        <v>407</v>
      </c>
      <c r="V440" s="55" t="s">
        <v>204</v>
      </c>
      <c r="W440" s="56"/>
      <c r="X440" s="57" t="n">
        <v>0.08</v>
      </c>
      <c r="Y440" s="28" t="n">
        <v>70.92</v>
      </c>
      <c r="Z440" s="28" t="n">
        <f aca="false">X440*Y440</f>
        <v>5.6736</v>
      </c>
    </row>
    <row r="441" customFormat="false" ht="15" hidden="false" customHeight="false" outlineLevel="0" collapsed="false">
      <c r="R441" s="1" t="s">
        <v>408</v>
      </c>
      <c r="V441" s="55" t="s">
        <v>150</v>
      </c>
      <c r="X441" s="1" t="n">
        <v>1</v>
      </c>
      <c r="Y441" s="1" t="n">
        <v>29.66</v>
      </c>
      <c r="Z441" s="28" t="n">
        <f aca="false">X441*Y441</f>
        <v>29.66</v>
      </c>
    </row>
    <row r="442" customFormat="false" ht="15" hidden="false" customHeight="false" outlineLevel="0" collapsed="false">
      <c r="Z442" s="53" t="n">
        <f aca="false">SUM(Z438:Z441)</f>
        <v>46.24972</v>
      </c>
    </row>
    <row r="443" customFormat="false" ht="15" hidden="false" customHeight="false" outlineLevel="0" collapsed="false">
      <c r="R443" s="54" t="s">
        <v>318</v>
      </c>
    </row>
    <row r="444" customFormat="false" ht="15" hidden="false" customHeight="false" outlineLevel="0" collapsed="false">
      <c r="R444" s="1" t="s">
        <v>311</v>
      </c>
      <c r="V444" s="55" t="s">
        <v>312</v>
      </c>
      <c r="X444" s="57" t="n">
        <v>5</v>
      </c>
      <c r="Y444" s="28" t="n">
        <f aca="false">Z436</f>
        <v>65.9333333333333</v>
      </c>
      <c r="Z444" s="28" t="n">
        <f aca="false">X444%*Y444</f>
        <v>3.29666666666667</v>
      </c>
    </row>
    <row r="445" customFormat="false" ht="15" hidden="false" customHeight="false" outlineLevel="0" collapsed="false">
      <c r="Q445" s="60"/>
      <c r="R445" s="60"/>
      <c r="S445" s="60"/>
      <c r="T445" s="60"/>
      <c r="U445" s="60"/>
      <c r="V445" s="60"/>
      <c r="W445" s="60"/>
      <c r="X445" s="60"/>
      <c r="Y445" s="60"/>
      <c r="Z445" s="61" t="n">
        <f aca="false">SUM(Z444)</f>
        <v>3.29666666666667</v>
      </c>
    </row>
    <row r="447" customFormat="false" ht="15" hidden="false" customHeight="false" outlineLevel="0" collapsed="false">
      <c r="Q447" s="14" t="s">
        <v>334</v>
      </c>
      <c r="R447" s="14"/>
      <c r="S447" s="14" t="s">
        <v>409</v>
      </c>
      <c r="T447" s="14"/>
      <c r="U447" s="14"/>
      <c r="V447" s="14"/>
      <c r="W447" s="14"/>
      <c r="X447" s="14"/>
      <c r="Y447" s="14"/>
    </row>
    <row r="448" customFormat="false" ht="15" hidden="false" customHeight="false" outlineLevel="0" collapsed="false">
      <c r="Q448" s="14" t="s">
        <v>279</v>
      </c>
      <c r="R448" s="14" t="s">
        <v>332</v>
      </c>
      <c r="S448" s="36" t="s">
        <v>281</v>
      </c>
      <c r="T448" s="52" t="n">
        <v>1</v>
      </c>
      <c r="U448" s="36" t="s">
        <v>282</v>
      </c>
      <c r="V448" s="52" t="n">
        <f aca="false">T448</f>
        <v>1</v>
      </c>
      <c r="W448" s="14" t="s">
        <v>283</v>
      </c>
      <c r="Y448" s="36" t="s">
        <v>155</v>
      </c>
      <c r="Z448" s="53" t="n">
        <f aca="false">Z454</f>
        <v>135.964</v>
      </c>
    </row>
    <row r="449" customFormat="false" ht="15" hidden="false" customHeight="false" outlineLevel="0" collapsed="false">
      <c r="Q449" s="14" t="s">
        <v>284</v>
      </c>
      <c r="R449" s="14" t="s">
        <v>285</v>
      </c>
      <c r="V449" s="36" t="s">
        <v>123</v>
      </c>
      <c r="W449" s="36" t="s">
        <v>286</v>
      </c>
      <c r="X449" s="36" t="s">
        <v>287</v>
      </c>
      <c r="Y449" s="36" t="s">
        <v>288</v>
      </c>
      <c r="Z449" s="36" t="s">
        <v>289</v>
      </c>
    </row>
    <row r="450" customFormat="false" ht="15" hidden="false" customHeight="false" outlineLevel="0" collapsed="false">
      <c r="R450" s="54" t="s">
        <v>295</v>
      </c>
    </row>
    <row r="451" customFormat="false" ht="15" hidden="false" customHeight="false" outlineLevel="0" collapsed="false">
      <c r="R451" s="1" t="s">
        <v>410</v>
      </c>
      <c r="V451" s="55" t="s">
        <v>150</v>
      </c>
      <c r="W451" s="56"/>
      <c r="X451" s="57" t="n">
        <v>80</v>
      </c>
      <c r="Y451" s="1" t="n">
        <v>0.42</v>
      </c>
      <c r="Z451" s="28" t="n">
        <f aca="false">X451*Y451</f>
        <v>33.6</v>
      </c>
      <c r="AC451" s="14"/>
      <c r="AD451" s="14"/>
      <c r="AE451" s="14"/>
      <c r="AF451" s="14"/>
      <c r="AG451" s="14"/>
      <c r="AH451" s="14"/>
    </row>
    <row r="452" customFormat="false" ht="15" hidden="false" customHeight="false" outlineLevel="0" collapsed="false">
      <c r="R452" s="1" t="s">
        <v>411</v>
      </c>
      <c r="V452" s="55" t="s">
        <v>150</v>
      </c>
      <c r="X452" s="57" t="n">
        <v>80</v>
      </c>
      <c r="Y452" s="1" t="n">
        <v>1.1</v>
      </c>
      <c r="Z452" s="28" t="n">
        <f aca="false">X452*Y452</f>
        <v>88</v>
      </c>
    </row>
    <row r="453" customFormat="false" ht="15" hidden="false" customHeight="false" outlineLevel="0" collapsed="false">
      <c r="R453" s="1" t="s">
        <v>412</v>
      </c>
      <c r="V453" s="55" t="s">
        <v>150</v>
      </c>
      <c r="X453" s="57" t="n">
        <v>0.05</v>
      </c>
      <c r="Y453" s="1" t="n">
        <v>287.28</v>
      </c>
      <c r="Z453" s="28" t="n">
        <f aca="false">X453*Y453</f>
        <v>14.364</v>
      </c>
    </row>
    <row r="454" customFormat="false" ht="15" hidden="false" customHeight="false" outlineLevel="0" collapsed="false">
      <c r="Q454" s="60"/>
      <c r="R454" s="60"/>
      <c r="S454" s="60"/>
      <c r="T454" s="60"/>
      <c r="U454" s="60"/>
      <c r="V454" s="62"/>
      <c r="W454" s="63"/>
      <c r="X454" s="64"/>
      <c r="Y454" s="65"/>
      <c r="Z454" s="61" t="n">
        <f aca="false">SUM(Z451:Z453)</f>
        <v>135.964</v>
      </c>
    </row>
    <row r="456" customFormat="false" ht="15" hidden="false" customHeight="false" outlineLevel="0" collapsed="false">
      <c r="Q456" s="14" t="s">
        <v>334</v>
      </c>
      <c r="R456" s="14"/>
      <c r="S456" s="14" t="s">
        <v>413</v>
      </c>
      <c r="T456" s="14"/>
      <c r="U456" s="14"/>
      <c r="V456" s="14"/>
      <c r="W456" s="14"/>
      <c r="X456" s="14"/>
      <c r="Y456" s="14"/>
    </row>
    <row r="457" customFormat="false" ht="15" hidden="false" customHeight="false" outlineLevel="0" collapsed="false">
      <c r="Q457" s="14" t="s">
        <v>279</v>
      </c>
      <c r="R457" s="14" t="s">
        <v>414</v>
      </c>
      <c r="S457" s="36" t="s">
        <v>281</v>
      </c>
      <c r="T457" s="52" t="n">
        <v>1</v>
      </c>
      <c r="U457" s="36" t="s">
        <v>282</v>
      </c>
      <c r="V457" s="52" t="n">
        <f aca="false">T457</f>
        <v>1</v>
      </c>
      <c r="W457" s="14" t="s">
        <v>283</v>
      </c>
      <c r="Y457" s="36" t="s">
        <v>215</v>
      </c>
      <c r="Z457" s="53" t="n">
        <f aca="false">Z461</f>
        <v>1915.25</v>
      </c>
    </row>
    <row r="458" customFormat="false" ht="15" hidden="false" customHeight="false" outlineLevel="0" collapsed="false">
      <c r="Q458" s="14" t="s">
        <v>284</v>
      </c>
      <c r="R458" s="14" t="s">
        <v>285</v>
      </c>
      <c r="V458" s="36" t="s">
        <v>123</v>
      </c>
      <c r="W458" s="36" t="s">
        <v>286</v>
      </c>
      <c r="X458" s="36" t="s">
        <v>287</v>
      </c>
      <c r="Y458" s="36" t="s">
        <v>288</v>
      </c>
      <c r="Z458" s="36" t="s">
        <v>289</v>
      </c>
    </row>
    <row r="459" customFormat="false" ht="15" hidden="false" customHeight="false" outlineLevel="0" collapsed="false">
      <c r="R459" s="54" t="s">
        <v>295</v>
      </c>
    </row>
    <row r="460" customFormat="false" ht="15" hidden="false" customHeight="false" outlineLevel="0" collapsed="false">
      <c r="R460" s="1" t="s">
        <v>415</v>
      </c>
      <c r="V460" s="55" t="s">
        <v>150</v>
      </c>
      <c r="W460" s="56"/>
      <c r="X460" s="57" t="n">
        <v>1</v>
      </c>
      <c r="Y460" s="1" t="n">
        <v>1915.25</v>
      </c>
      <c r="Z460" s="28" t="n">
        <f aca="false">X460*Y460</f>
        <v>1915.25</v>
      </c>
    </row>
    <row r="461" customFormat="false" ht="15" hidden="false" customHeight="false" outlineLevel="0" collapsed="false">
      <c r="Q461" s="60"/>
      <c r="R461" s="60"/>
      <c r="S461" s="60"/>
      <c r="T461" s="60"/>
      <c r="U461" s="60"/>
      <c r="V461" s="62"/>
      <c r="W461" s="63"/>
      <c r="X461" s="64"/>
      <c r="Y461" s="65"/>
      <c r="Z461" s="61" t="n">
        <f aca="false">SUM(Z460)</f>
        <v>1915.25</v>
      </c>
    </row>
    <row r="462" customFormat="false" ht="15" hidden="false" customHeight="false" outlineLevel="0" collapsed="false">
      <c r="V462" s="55"/>
      <c r="W462" s="56"/>
      <c r="X462" s="57"/>
      <c r="Y462" s="28"/>
      <c r="Z462" s="53"/>
    </row>
    <row r="463" customFormat="false" ht="15" hidden="false" customHeight="false" outlineLevel="0" collapsed="false">
      <c r="Q463" s="14" t="s">
        <v>278</v>
      </c>
      <c r="R463" s="14"/>
      <c r="S463" s="14" t="s">
        <v>221</v>
      </c>
      <c r="T463" s="14"/>
      <c r="U463" s="14"/>
      <c r="V463" s="14"/>
      <c r="W463" s="14"/>
      <c r="X463" s="14"/>
      <c r="Y463" s="14"/>
    </row>
    <row r="464" customFormat="false" ht="15" hidden="false" customHeight="false" outlineLevel="0" collapsed="false">
      <c r="Q464" s="14" t="s">
        <v>279</v>
      </c>
      <c r="R464" s="14" t="s">
        <v>326</v>
      </c>
      <c r="S464" s="36" t="s">
        <v>281</v>
      </c>
      <c r="T464" s="52" t="n">
        <v>7.5</v>
      </c>
      <c r="U464" s="36" t="s">
        <v>282</v>
      </c>
      <c r="V464" s="52" t="n">
        <f aca="false">T464</f>
        <v>7.5</v>
      </c>
      <c r="W464" s="14" t="s">
        <v>283</v>
      </c>
      <c r="Y464" s="36" t="s">
        <v>150</v>
      </c>
      <c r="Z464" s="53" t="n">
        <f aca="false">Z468++Z471+Z474</f>
        <v>167.0412</v>
      </c>
    </row>
    <row r="465" customFormat="false" ht="15" hidden="false" customHeight="false" outlineLevel="0" collapsed="false">
      <c r="Q465" s="14" t="s">
        <v>284</v>
      </c>
      <c r="R465" s="14" t="s">
        <v>285</v>
      </c>
      <c r="V465" s="36" t="s">
        <v>123</v>
      </c>
      <c r="W465" s="36" t="s">
        <v>286</v>
      </c>
      <c r="X465" s="36" t="s">
        <v>287</v>
      </c>
      <c r="Y465" s="36" t="s">
        <v>288</v>
      </c>
      <c r="Z465" s="36" t="s">
        <v>289</v>
      </c>
    </row>
    <row r="466" customFormat="false" ht="15" hidden="false" customHeight="false" outlineLevel="0" collapsed="false">
      <c r="R466" s="54" t="s">
        <v>290</v>
      </c>
    </row>
    <row r="467" customFormat="false" ht="15" hidden="false" customHeight="false" outlineLevel="0" collapsed="false">
      <c r="R467" s="1" t="s">
        <v>294</v>
      </c>
      <c r="V467" s="55" t="s">
        <v>292</v>
      </c>
      <c r="W467" s="56" t="n">
        <v>1</v>
      </c>
      <c r="X467" s="57" t="n">
        <f aca="false">W467*8/$T$464</f>
        <v>1.06666666666667</v>
      </c>
      <c r="Y467" s="28" t="n">
        <v>20.51</v>
      </c>
      <c r="Z467" s="28" t="n">
        <f aca="false">X467*Y467</f>
        <v>21.8773333333333</v>
      </c>
    </row>
    <row r="468" customFormat="false" ht="15" hidden="false" customHeight="false" outlineLevel="0" collapsed="false">
      <c r="Z468" s="53" t="n">
        <f aca="false">SUM(Z467:Z467)</f>
        <v>21.8773333333333</v>
      </c>
    </row>
    <row r="469" customFormat="false" ht="15" hidden="false" customHeight="false" outlineLevel="0" collapsed="false">
      <c r="R469" s="54" t="s">
        <v>295</v>
      </c>
      <c r="AD469" s="14"/>
    </row>
    <row r="470" customFormat="false" ht="15" hidden="false" customHeight="false" outlineLevel="0" collapsed="false">
      <c r="R470" s="1" t="s">
        <v>416</v>
      </c>
      <c r="V470" s="55" t="s">
        <v>150</v>
      </c>
      <c r="X470" s="56" t="n">
        <v>1</v>
      </c>
      <c r="Y470" s="57" t="n">
        <v>144.07</v>
      </c>
      <c r="Z470" s="28" t="n">
        <f aca="false">X470*Y470</f>
        <v>144.07</v>
      </c>
    </row>
    <row r="471" customFormat="false" ht="15" hidden="false" customHeight="false" outlineLevel="0" collapsed="false">
      <c r="Z471" s="53" t="n">
        <f aca="false">SUM(Z470:Z470)</f>
        <v>144.07</v>
      </c>
    </row>
    <row r="472" customFormat="false" ht="15" hidden="false" customHeight="false" outlineLevel="0" collapsed="false">
      <c r="R472" s="54" t="s">
        <v>318</v>
      </c>
    </row>
    <row r="473" customFormat="false" ht="15" hidden="false" customHeight="false" outlineLevel="0" collapsed="false">
      <c r="R473" s="1" t="s">
        <v>311</v>
      </c>
      <c r="V473" s="55" t="s">
        <v>312</v>
      </c>
      <c r="X473" s="57" t="n">
        <v>5</v>
      </c>
      <c r="Y473" s="28" t="n">
        <f aca="false">Z468</f>
        <v>21.8773333333333</v>
      </c>
      <c r="Z473" s="28" t="n">
        <f aca="false">X473%*Y473</f>
        <v>1.09386666666667</v>
      </c>
    </row>
    <row r="474" customFormat="false" ht="15" hidden="false" customHeight="false" outlineLevel="0" collapsed="false">
      <c r="Q474" s="60"/>
      <c r="R474" s="60"/>
      <c r="S474" s="60"/>
      <c r="T474" s="60"/>
      <c r="U474" s="60"/>
      <c r="V474" s="60"/>
      <c r="W474" s="60"/>
      <c r="X474" s="60"/>
      <c r="Y474" s="60"/>
      <c r="Z474" s="61" t="n">
        <f aca="false">SUM(Z473:Z473)</f>
        <v>1.09386666666667</v>
      </c>
    </row>
    <row r="476" customFormat="false" ht="15" hidden="false" customHeight="false" outlineLevel="0" collapsed="false">
      <c r="Q476" s="14" t="s">
        <v>278</v>
      </c>
      <c r="R476" s="14"/>
      <c r="S476" s="14" t="s">
        <v>223</v>
      </c>
      <c r="T476" s="14"/>
      <c r="U476" s="14"/>
      <c r="V476" s="14"/>
      <c r="W476" s="14"/>
      <c r="X476" s="14"/>
      <c r="Y476" s="14"/>
    </row>
    <row r="477" customFormat="false" ht="15" hidden="false" customHeight="false" outlineLevel="0" collapsed="false">
      <c r="Q477" s="14" t="s">
        <v>279</v>
      </c>
      <c r="R477" s="14" t="s">
        <v>417</v>
      </c>
      <c r="S477" s="36" t="s">
        <v>281</v>
      </c>
      <c r="T477" s="52" t="n">
        <v>45</v>
      </c>
      <c r="U477" s="36" t="s">
        <v>282</v>
      </c>
      <c r="V477" s="52" t="n">
        <f aca="false">T477</f>
        <v>45</v>
      </c>
      <c r="W477" s="14" t="s">
        <v>283</v>
      </c>
      <c r="Y477" s="36" t="s">
        <v>204</v>
      </c>
      <c r="Z477" s="53" t="n">
        <f aca="false">Z481++Z489+Z492</f>
        <v>163.192133333333</v>
      </c>
    </row>
    <row r="478" customFormat="false" ht="15" hidden="false" customHeight="false" outlineLevel="0" collapsed="false">
      <c r="Q478" s="14" t="s">
        <v>284</v>
      </c>
      <c r="R478" s="14" t="s">
        <v>285</v>
      </c>
      <c r="V478" s="36" t="s">
        <v>123</v>
      </c>
      <c r="W478" s="36" t="s">
        <v>286</v>
      </c>
      <c r="X478" s="36" t="s">
        <v>287</v>
      </c>
      <c r="Y478" s="36" t="s">
        <v>288</v>
      </c>
      <c r="Z478" s="36" t="s">
        <v>289</v>
      </c>
    </row>
    <row r="479" customFormat="false" ht="15" hidden="false" customHeight="false" outlineLevel="0" collapsed="false">
      <c r="R479" s="54" t="s">
        <v>290</v>
      </c>
    </row>
    <row r="480" customFormat="false" ht="15" hidden="false" customHeight="false" outlineLevel="0" collapsed="false">
      <c r="R480" s="1" t="s">
        <v>294</v>
      </c>
      <c r="V480" s="55" t="s">
        <v>292</v>
      </c>
      <c r="W480" s="56" t="n">
        <v>4</v>
      </c>
      <c r="X480" s="57" t="n">
        <f aca="false">W480*8/$T$477</f>
        <v>0.711111111111111</v>
      </c>
      <c r="Y480" s="28" t="n">
        <v>20.51</v>
      </c>
      <c r="Z480" s="28" t="n">
        <f aca="false">X480*Y480</f>
        <v>14.5848888888889</v>
      </c>
    </row>
    <row r="481" customFormat="false" ht="15" hidden="false" customHeight="false" outlineLevel="0" collapsed="false">
      <c r="Z481" s="53" t="n">
        <f aca="false">SUM(Z480:Z480)</f>
        <v>14.5848888888889</v>
      </c>
    </row>
    <row r="482" customFormat="false" ht="15" hidden="false" customHeight="false" outlineLevel="0" collapsed="false">
      <c r="R482" s="54" t="s">
        <v>295</v>
      </c>
    </row>
    <row r="483" customFormat="false" ht="15" hidden="false" customHeight="false" outlineLevel="0" collapsed="false">
      <c r="R483" s="1" t="s">
        <v>418</v>
      </c>
      <c r="V483" s="55" t="s">
        <v>150</v>
      </c>
      <c r="W483" s="56"/>
      <c r="X483" s="57" t="n">
        <v>2</v>
      </c>
      <c r="Y483" s="28" t="n">
        <v>29.66</v>
      </c>
      <c r="Z483" s="28" t="n">
        <f aca="false">X483*Y483</f>
        <v>59.32</v>
      </c>
    </row>
    <row r="484" customFormat="false" ht="15" hidden="false" customHeight="false" outlineLevel="0" collapsed="false">
      <c r="R484" s="1" t="s">
        <v>419</v>
      </c>
      <c r="V484" s="55" t="s">
        <v>420</v>
      </c>
      <c r="W484" s="56"/>
      <c r="X484" s="57" t="n">
        <v>5</v>
      </c>
      <c r="Y484" s="28" t="n">
        <v>8.9</v>
      </c>
      <c r="Z484" s="28" t="n">
        <f aca="false">X484*Y484</f>
        <v>44.5</v>
      </c>
    </row>
    <row r="485" customFormat="false" ht="15" hidden="false" customHeight="false" outlineLevel="0" collapsed="false">
      <c r="R485" s="1" t="s">
        <v>421</v>
      </c>
      <c r="V485" s="55" t="s">
        <v>150</v>
      </c>
      <c r="X485" s="57" t="n">
        <v>3</v>
      </c>
      <c r="Y485" s="28" t="n">
        <v>3.39</v>
      </c>
      <c r="Z485" s="28" t="n">
        <f aca="false">X485*Y485</f>
        <v>10.17</v>
      </c>
    </row>
    <row r="486" customFormat="false" ht="15" hidden="false" customHeight="false" outlineLevel="0" collapsed="false">
      <c r="R486" s="1" t="s">
        <v>422</v>
      </c>
      <c r="V486" s="55" t="s">
        <v>150</v>
      </c>
      <c r="W486" s="56"/>
      <c r="X486" s="57" t="n">
        <v>2</v>
      </c>
      <c r="Y486" s="28" t="n">
        <v>8.47</v>
      </c>
      <c r="Z486" s="28" t="n">
        <f aca="false">X486*Y486</f>
        <v>16.94</v>
      </c>
    </row>
    <row r="487" customFormat="false" ht="15" hidden="false" customHeight="false" outlineLevel="0" collapsed="false">
      <c r="R487" s="1" t="s">
        <v>423</v>
      </c>
      <c r="V487" s="55" t="s">
        <v>150</v>
      </c>
      <c r="X487" s="57" t="n">
        <v>0.1</v>
      </c>
      <c r="Y487" s="28" t="n">
        <v>55.08</v>
      </c>
      <c r="Z487" s="28" t="n">
        <f aca="false">X487*Y487</f>
        <v>5.508</v>
      </c>
    </row>
    <row r="488" customFormat="false" ht="15" hidden="false" customHeight="false" outlineLevel="0" collapsed="false">
      <c r="R488" s="1" t="s">
        <v>424</v>
      </c>
      <c r="V488" s="55" t="s">
        <v>150</v>
      </c>
      <c r="X488" s="57" t="n">
        <v>0.5</v>
      </c>
      <c r="Y488" s="28" t="n">
        <v>22.88</v>
      </c>
      <c r="Z488" s="28" t="n">
        <f aca="false">X488*Y488</f>
        <v>11.44</v>
      </c>
    </row>
    <row r="489" customFormat="false" ht="15" hidden="false" customHeight="false" outlineLevel="0" collapsed="false">
      <c r="Z489" s="53" t="n">
        <f aca="false">SUM(Z483:Z488)</f>
        <v>147.878</v>
      </c>
    </row>
    <row r="490" customFormat="false" ht="15" hidden="false" customHeight="false" outlineLevel="0" collapsed="false">
      <c r="R490" s="54" t="s">
        <v>310</v>
      </c>
    </row>
    <row r="491" customFormat="false" ht="15" hidden="false" customHeight="false" outlineLevel="0" collapsed="false">
      <c r="R491" s="1" t="s">
        <v>311</v>
      </c>
      <c r="V491" s="55" t="s">
        <v>312</v>
      </c>
      <c r="X491" s="57" t="n">
        <v>5</v>
      </c>
      <c r="Y491" s="28" t="n">
        <f aca="false">Z481</f>
        <v>14.5848888888889</v>
      </c>
      <c r="Z491" s="28" t="n">
        <f aca="false">X491%*Y491</f>
        <v>0.729244444444445</v>
      </c>
    </row>
    <row r="492" customFormat="false" ht="15" hidden="false" customHeight="false" outlineLevel="0" collapsed="false">
      <c r="Q492" s="60"/>
      <c r="R492" s="60"/>
      <c r="S492" s="60"/>
      <c r="T492" s="60"/>
      <c r="U492" s="60"/>
      <c r="V492" s="60"/>
      <c r="W492" s="60"/>
      <c r="X492" s="60"/>
      <c r="Y492" s="60"/>
      <c r="Z492" s="61" t="n">
        <f aca="false">SUM(Z491)</f>
        <v>0.729244444444445</v>
      </c>
    </row>
    <row r="494" customFormat="false" ht="15" hidden="false" customHeight="false" outlineLevel="0" collapsed="false">
      <c r="Q494" s="14" t="s">
        <v>334</v>
      </c>
      <c r="R494" s="14"/>
      <c r="S494" s="14" t="s">
        <v>225</v>
      </c>
      <c r="T494" s="14"/>
      <c r="U494" s="14"/>
      <c r="V494" s="14"/>
      <c r="W494" s="14"/>
      <c r="X494" s="14"/>
      <c r="Y494" s="14"/>
    </row>
    <row r="495" customFormat="false" ht="15" hidden="false" customHeight="false" outlineLevel="0" collapsed="false">
      <c r="Q495" s="14" t="s">
        <v>279</v>
      </c>
      <c r="R495" s="14" t="s">
        <v>417</v>
      </c>
      <c r="S495" s="36" t="s">
        <v>281</v>
      </c>
      <c r="T495" s="52" t="n">
        <v>1</v>
      </c>
      <c r="U495" s="36" t="s">
        <v>282</v>
      </c>
      <c r="V495" s="52" t="n">
        <f aca="false">T495</f>
        <v>1</v>
      </c>
      <c r="W495" s="14" t="s">
        <v>283</v>
      </c>
      <c r="Y495" s="36" t="s">
        <v>204</v>
      </c>
      <c r="Z495" s="53" t="n">
        <f aca="false">Z499</f>
        <v>406.78</v>
      </c>
    </row>
    <row r="496" customFormat="false" ht="15" hidden="false" customHeight="false" outlineLevel="0" collapsed="false">
      <c r="Q496" s="14" t="s">
        <v>284</v>
      </c>
      <c r="R496" s="14" t="s">
        <v>285</v>
      </c>
      <c r="V496" s="36" t="s">
        <v>123</v>
      </c>
      <c r="W496" s="36" t="s">
        <v>286</v>
      </c>
      <c r="X496" s="36" t="s">
        <v>287</v>
      </c>
      <c r="Y496" s="36" t="s">
        <v>288</v>
      </c>
      <c r="Z496" s="36" t="s">
        <v>289</v>
      </c>
    </row>
    <row r="497" customFormat="false" ht="15" hidden="false" customHeight="false" outlineLevel="0" collapsed="false">
      <c r="R497" s="54" t="s">
        <v>295</v>
      </c>
    </row>
    <row r="498" customFormat="false" ht="15" hidden="false" customHeight="false" outlineLevel="0" collapsed="false">
      <c r="R498" s="1" t="s">
        <v>425</v>
      </c>
      <c r="V498" s="55" t="s">
        <v>426</v>
      </c>
      <c r="W498" s="56"/>
      <c r="X498" s="57" t="n">
        <v>1</v>
      </c>
      <c r="Y498" s="1" t="n">
        <v>406.78</v>
      </c>
      <c r="Z498" s="28" t="n">
        <f aca="false">X498*Y498</f>
        <v>406.78</v>
      </c>
    </row>
    <row r="499" customFormat="false" ht="15" hidden="false" customHeight="false" outlineLevel="0" collapsed="false">
      <c r="Q499" s="60"/>
      <c r="R499" s="60"/>
      <c r="S499" s="60"/>
      <c r="T499" s="60"/>
      <c r="U499" s="60"/>
      <c r="V499" s="62"/>
      <c r="W499" s="63"/>
      <c r="X499" s="64"/>
      <c r="Y499" s="65"/>
      <c r="Z499" s="61" t="n">
        <f aca="false">SUM(Z498)</f>
        <v>406.78</v>
      </c>
    </row>
    <row r="502" customFormat="false" ht="15" hidden="false" customHeight="false" outlineLevel="0" collapsed="false">
      <c r="V502" s="55"/>
      <c r="W502" s="56"/>
      <c r="X502" s="57"/>
      <c r="Y502" s="28"/>
      <c r="Z502" s="53"/>
    </row>
    <row r="503" customFormat="false" ht="15" hidden="false" customHeight="false" outlineLevel="0" collapsed="false">
      <c r="V503" s="55"/>
      <c r="W503" s="56"/>
      <c r="X503" s="57"/>
      <c r="Y503" s="28"/>
      <c r="Z503" s="53"/>
    </row>
    <row r="504" customFormat="false" ht="15" hidden="false" customHeight="false" outlineLevel="0" collapsed="false">
      <c r="V504" s="55"/>
      <c r="W504" s="56"/>
      <c r="X504" s="57"/>
      <c r="Y504" s="28"/>
      <c r="Z504" s="53"/>
    </row>
    <row r="505" customFormat="false" ht="15" hidden="false" customHeight="false" outlineLevel="0" collapsed="false">
      <c r="Q505" s="14" t="s">
        <v>278</v>
      </c>
      <c r="R505" s="14"/>
      <c r="S505" s="14" t="s">
        <v>427</v>
      </c>
      <c r="T505" s="14"/>
      <c r="U505" s="14"/>
      <c r="V505" s="14"/>
      <c r="W505" s="14"/>
      <c r="X505" s="14"/>
      <c r="Y505" s="14"/>
    </row>
    <row r="506" customFormat="false" ht="15" hidden="false" customHeight="false" outlineLevel="0" collapsed="false">
      <c r="Q506" s="14" t="s">
        <v>279</v>
      </c>
      <c r="R506" s="14" t="s">
        <v>280</v>
      </c>
      <c r="S506" s="36" t="s">
        <v>281</v>
      </c>
      <c r="T506" s="52" t="n">
        <v>30</v>
      </c>
      <c r="U506" s="36" t="s">
        <v>282</v>
      </c>
      <c r="V506" s="52" t="n">
        <f aca="false">T506</f>
        <v>30</v>
      </c>
      <c r="W506" s="14" t="s">
        <v>283</v>
      </c>
      <c r="Y506" s="36" t="s">
        <v>134</v>
      </c>
      <c r="Z506" s="53" t="n">
        <f aca="false">Z512++Z520+Z523</f>
        <v>80.19009</v>
      </c>
    </row>
    <row r="507" customFormat="false" ht="15" hidden="false" customHeight="false" outlineLevel="0" collapsed="false">
      <c r="Q507" s="14" t="s">
        <v>284</v>
      </c>
      <c r="R507" s="14" t="s">
        <v>285</v>
      </c>
      <c r="V507" s="36" t="s">
        <v>123</v>
      </c>
      <c r="W507" s="36" t="s">
        <v>286</v>
      </c>
      <c r="X507" s="36" t="s">
        <v>287</v>
      </c>
      <c r="Y507" s="36" t="s">
        <v>288</v>
      </c>
      <c r="Z507" s="36" t="s">
        <v>289</v>
      </c>
    </row>
    <row r="508" customFormat="false" ht="15" hidden="false" customHeight="false" outlineLevel="0" collapsed="false">
      <c r="R508" s="54" t="s">
        <v>290</v>
      </c>
    </row>
    <row r="509" customFormat="false" ht="15" hidden="false" customHeight="false" outlineLevel="0" collapsed="false">
      <c r="R509" s="1" t="s">
        <v>291</v>
      </c>
      <c r="V509" s="55" t="s">
        <v>292</v>
      </c>
      <c r="W509" s="56" t="n">
        <v>1</v>
      </c>
      <c r="X509" s="57" t="n">
        <f aca="false">W509*8/$T$506</f>
        <v>0.266666666666667</v>
      </c>
      <c r="Y509" s="28" t="n">
        <v>28.94</v>
      </c>
      <c r="Z509" s="28" t="n">
        <f aca="false">X509*Y509</f>
        <v>7.71733333333333</v>
      </c>
    </row>
    <row r="510" customFormat="false" ht="15" hidden="false" customHeight="false" outlineLevel="0" collapsed="false">
      <c r="R510" s="1" t="s">
        <v>293</v>
      </c>
      <c r="V510" s="55" t="s">
        <v>292</v>
      </c>
      <c r="W510" s="56" t="n">
        <v>1</v>
      </c>
      <c r="X510" s="57" t="n">
        <f aca="false">W510*8/$T$506</f>
        <v>0.266666666666667</v>
      </c>
      <c r="Y510" s="28" t="n">
        <v>22.66</v>
      </c>
      <c r="Z510" s="28" t="n">
        <f aca="false">X510*Y510</f>
        <v>6.04266666666667</v>
      </c>
    </row>
    <row r="511" customFormat="false" ht="15" hidden="false" customHeight="false" outlineLevel="0" collapsed="false">
      <c r="R511" s="1" t="s">
        <v>294</v>
      </c>
      <c r="V511" s="55" t="s">
        <v>292</v>
      </c>
      <c r="W511" s="56" t="n">
        <v>3</v>
      </c>
      <c r="X511" s="57" t="n">
        <f aca="false">W511*8/$T$506</f>
        <v>0.8</v>
      </c>
      <c r="Y511" s="28" t="n">
        <v>20.51</v>
      </c>
      <c r="Z511" s="28" t="n">
        <f aca="false">X511*Y511</f>
        <v>16.408</v>
      </c>
    </row>
    <row r="512" customFormat="false" ht="15" hidden="false" customHeight="false" outlineLevel="0" collapsed="false">
      <c r="Z512" s="53" t="n">
        <f aca="false">SUM(Z509:Z511)</f>
        <v>30.168</v>
      </c>
    </row>
    <row r="513" customFormat="false" ht="15" hidden="false" customHeight="false" outlineLevel="0" collapsed="false">
      <c r="R513" s="54" t="s">
        <v>295</v>
      </c>
    </row>
    <row r="514" customFormat="false" ht="15" hidden="false" customHeight="false" outlineLevel="0" collapsed="false">
      <c r="R514" s="1" t="s">
        <v>296</v>
      </c>
      <c r="V514" s="55" t="s">
        <v>297</v>
      </c>
      <c r="X514" s="1" t="n">
        <v>0.25</v>
      </c>
      <c r="Y514" s="1" t="n">
        <v>2.64</v>
      </c>
      <c r="Z514" s="28" t="n">
        <f aca="false">X514*Y514</f>
        <v>0.66</v>
      </c>
    </row>
    <row r="515" customFormat="false" ht="15" hidden="false" customHeight="false" outlineLevel="0" collapsed="false">
      <c r="R515" s="1" t="s">
        <v>428</v>
      </c>
      <c r="V515" s="55" t="s">
        <v>150</v>
      </c>
      <c r="W515" s="56"/>
      <c r="X515" s="1" t="n">
        <v>1.05</v>
      </c>
      <c r="Y515" s="1" t="n">
        <v>25.25</v>
      </c>
      <c r="Z515" s="28" t="n">
        <f aca="false">X515*Y515</f>
        <v>26.5125</v>
      </c>
    </row>
    <row r="516" customFormat="false" ht="15" hidden="false" customHeight="false" outlineLevel="0" collapsed="false">
      <c r="R516" s="1" t="s">
        <v>302</v>
      </c>
      <c r="V516" s="55" t="s">
        <v>297</v>
      </c>
      <c r="W516" s="56"/>
      <c r="X516" s="1" t="n">
        <v>0.071</v>
      </c>
      <c r="Y516" s="1" t="n">
        <v>5.51</v>
      </c>
      <c r="Z516" s="28" t="n">
        <f aca="false">X516*Y516</f>
        <v>0.39121</v>
      </c>
    </row>
    <row r="517" customFormat="false" ht="15" hidden="false" customHeight="false" outlineLevel="0" collapsed="false">
      <c r="R517" s="1" t="s">
        <v>429</v>
      </c>
      <c r="V517" s="55" t="s">
        <v>430</v>
      </c>
      <c r="X517" s="1" t="n">
        <v>0.019</v>
      </c>
      <c r="Y517" s="1" t="n">
        <v>70.92</v>
      </c>
      <c r="Z517" s="28" t="n">
        <f aca="false">X517*Y517</f>
        <v>1.34748</v>
      </c>
    </row>
    <row r="518" customFormat="false" ht="15" hidden="false" customHeight="false" outlineLevel="0" collapsed="false">
      <c r="R518" s="1" t="s">
        <v>431</v>
      </c>
      <c r="V518" s="55" t="s">
        <v>432</v>
      </c>
      <c r="X518" s="1" t="n">
        <v>0.25</v>
      </c>
      <c r="Y518" s="1" t="n">
        <v>23.31</v>
      </c>
      <c r="Z518" s="28" t="n">
        <f aca="false">X518*Y518</f>
        <v>5.8275</v>
      </c>
    </row>
    <row r="519" customFormat="false" ht="15" hidden="false" customHeight="false" outlineLevel="0" collapsed="false">
      <c r="R519" s="1" t="s">
        <v>433</v>
      </c>
      <c r="V519" s="55" t="s">
        <v>434</v>
      </c>
      <c r="X519" s="1" t="n">
        <v>2.5</v>
      </c>
      <c r="Y519" s="1" t="n">
        <v>5.51</v>
      </c>
      <c r="Z519" s="28" t="n">
        <f aca="false">X519*Y519</f>
        <v>13.775</v>
      </c>
    </row>
    <row r="520" customFormat="false" ht="15" hidden="false" customHeight="false" outlineLevel="0" collapsed="false">
      <c r="Z520" s="53" t="n">
        <f aca="false">SUM(Z514:Z519)</f>
        <v>48.51369</v>
      </c>
    </row>
    <row r="521" customFormat="false" ht="15" hidden="false" customHeight="false" outlineLevel="0" collapsed="false">
      <c r="R521" s="54" t="s">
        <v>318</v>
      </c>
    </row>
    <row r="522" customFormat="false" ht="15" hidden="false" customHeight="false" outlineLevel="0" collapsed="false">
      <c r="R522" s="1" t="s">
        <v>311</v>
      </c>
      <c r="V522" s="55" t="s">
        <v>312</v>
      </c>
      <c r="X522" s="57" t="n">
        <v>5</v>
      </c>
      <c r="Y522" s="28" t="n">
        <f aca="false">Z512</f>
        <v>30.168</v>
      </c>
      <c r="Z522" s="28" t="n">
        <f aca="false">X522%*Y522</f>
        <v>1.5084</v>
      </c>
    </row>
    <row r="523" customFormat="false" ht="15" hidden="false" customHeight="false" outlineLevel="0" collapsed="false">
      <c r="Q523" s="60"/>
      <c r="R523" s="60"/>
      <c r="S523" s="60"/>
      <c r="T523" s="60"/>
      <c r="U523" s="60"/>
      <c r="V523" s="60"/>
      <c r="W523" s="60"/>
      <c r="X523" s="60"/>
      <c r="Y523" s="60"/>
      <c r="Z523" s="61" t="n">
        <f aca="false">SUM(Z522)</f>
        <v>1.5084</v>
      </c>
    </row>
    <row r="524" customFormat="false" ht="15" hidden="false" customHeight="false" outlineLevel="0" collapsed="false">
      <c r="V524" s="55"/>
      <c r="X524" s="57"/>
      <c r="Z524" s="28"/>
    </row>
    <row r="525" customFormat="false" ht="15" hidden="false" customHeight="false" outlineLevel="0" collapsed="false">
      <c r="Q525" s="14" t="s">
        <v>278</v>
      </c>
      <c r="R525" s="14"/>
      <c r="S525" s="14" t="s">
        <v>231</v>
      </c>
      <c r="T525" s="14"/>
      <c r="U525" s="14"/>
      <c r="V525" s="14"/>
      <c r="W525" s="14"/>
      <c r="X525" s="14"/>
      <c r="Y525" s="14"/>
    </row>
    <row r="526" customFormat="false" ht="15" hidden="false" customHeight="false" outlineLevel="0" collapsed="false">
      <c r="Q526" s="14" t="s">
        <v>279</v>
      </c>
      <c r="R526" s="14" t="s">
        <v>326</v>
      </c>
      <c r="S526" s="36" t="s">
        <v>281</v>
      </c>
      <c r="T526" s="52" t="n">
        <v>41</v>
      </c>
      <c r="U526" s="36" t="s">
        <v>282</v>
      </c>
      <c r="V526" s="52" t="n">
        <f aca="false">T526</f>
        <v>41</v>
      </c>
      <c r="W526" s="14" t="s">
        <v>283</v>
      </c>
      <c r="Y526" s="36" t="s">
        <v>150</v>
      </c>
      <c r="Z526" s="53" t="n">
        <f aca="false">Z530++Z533+Z536</f>
        <v>148.272048780488</v>
      </c>
    </row>
    <row r="527" customFormat="false" ht="15" hidden="false" customHeight="false" outlineLevel="0" collapsed="false">
      <c r="Q527" s="14" t="s">
        <v>284</v>
      </c>
      <c r="R527" s="14" t="s">
        <v>285</v>
      </c>
      <c r="V527" s="36" t="s">
        <v>123</v>
      </c>
      <c r="W527" s="36" t="s">
        <v>286</v>
      </c>
      <c r="X527" s="36" t="s">
        <v>287</v>
      </c>
      <c r="Y527" s="36" t="s">
        <v>288</v>
      </c>
      <c r="Z527" s="36" t="s">
        <v>289</v>
      </c>
    </row>
    <row r="528" customFormat="false" ht="15" hidden="false" customHeight="false" outlineLevel="0" collapsed="false">
      <c r="R528" s="54" t="s">
        <v>290</v>
      </c>
    </row>
    <row r="529" customFormat="false" ht="15" hidden="false" customHeight="false" outlineLevel="0" collapsed="false">
      <c r="R529" s="1" t="s">
        <v>294</v>
      </c>
      <c r="V529" s="55" t="s">
        <v>292</v>
      </c>
      <c r="W529" s="56" t="n">
        <v>1</v>
      </c>
      <c r="X529" s="57" t="n">
        <f aca="false">W529*8/$T$526</f>
        <v>0.195121951219512</v>
      </c>
      <c r="Y529" s="28" t="n">
        <v>20.51</v>
      </c>
      <c r="Z529" s="28" t="n">
        <f aca="false">X529*Y529</f>
        <v>4.0019512195122</v>
      </c>
    </row>
    <row r="530" customFormat="false" ht="15" hidden="false" customHeight="false" outlineLevel="0" collapsed="false">
      <c r="Z530" s="53" t="n">
        <f aca="false">SUM(Z529:Z529)</f>
        <v>4.0019512195122</v>
      </c>
    </row>
    <row r="531" customFormat="false" ht="15" hidden="false" customHeight="false" outlineLevel="0" collapsed="false">
      <c r="R531" s="54" t="s">
        <v>295</v>
      </c>
    </row>
    <row r="532" customFormat="false" ht="15" hidden="false" customHeight="false" outlineLevel="0" collapsed="false">
      <c r="R532" s="1" t="s">
        <v>416</v>
      </c>
      <c r="V532" s="55" t="s">
        <v>150</v>
      </c>
      <c r="X532" s="56" t="n">
        <v>1</v>
      </c>
      <c r="Y532" s="57" t="n">
        <v>144.07</v>
      </c>
      <c r="Z532" s="28" t="n">
        <f aca="false">X532*Y532</f>
        <v>144.07</v>
      </c>
    </row>
    <row r="533" customFormat="false" ht="15" hidden="false" customHeight="false" outlineLevel="0" collapsed="false">
      <c r="Z533" s="53" t="n">
        <f aca="false">SUM(Z532:Z532)</f>
        <v>144.07</v>
      </c>
    </row>
    <row r="534" customFormat="false" ht="15" hidden="false" customHeight="false" outlineLevel="0" collapsed="false">
      <c r="R534" s="54" t="s">
        <v>318</v>
      </c>
    </row>
    <row r="535" customFormat="false" ht="15" hidden="false" customHeight="false" outlineLevel="0" collapsed="false">
      <c r="R535" s="1" t="s">
        <v>311</v>
      </c>
      <c r="V535" s="55" t="s">
        <v>312</v>
      </c>
      <c r="X535" s="57" t="n">
        <v>5</v>
      </c>
      <c r="Y535" s="28" t="n">
        <f aca="false">Z530</f>
        <v>4.0019512195122</v>
      </c>
      <c r="Z535" s="28" t="n">
        <f aca="false">X535%*Y535</f>
        <v>0.20009756097561</v>
      </c>
    </row>
    <row r="536" customFormat="false" ht="15" hidden="false" customHeight="false" outlineLevel="0" collapsed="false">
      <c r="Q536" s="60"/>
      <c r="R536" s="60"/>
      <c r="S536" s="60"/>
      <c r="T536" s="60"/>
      <c r="U536" s="60"/>
      <c r="V536" s="60"/>
      <c r="W536" s="60"/>
      <c r="X536" s="60"/>
      <c r="Y536" s="60"/>
      <c r="Z536" s="61" t="n">
        <f aca="false">SUM(Z535:Z535)</f>
        <v>0.20009756097561</v>
      </c>
    </row>
    <row r="538" customFormat="false" ht="15" hidden="false" customHeight="false" outlineLevel="0" collapsed="false">
      <c r="Q538" s="14" t="s">
        <v>278</v>
      </c>
      <c r="R538" s="14"/>
      <c r="S538" s="14" t="s">
        <v>233</v>
      </c>
      <c r="T538" s="14"/>
      <c r="U538" s="14"/>
      <c r="V538" s="14"/>
      <c r="W538" s="14"/>
      <c r="X538" s="14"/>
      <c r="Y538" s="14"/>
    </row>
    <row r="539" customFormat="false" ht="15" hidden="false" customHeight="false" outlineLevel="0" collapsed="false">
      <c r="Q539" s="14" t="s">
        <v>279</v>
      </c>
      <c r="R539" s="14" t="s">
        <v>417</v>
      </c>
      <c r="S539" s="36" t="s">
        <v>281</v>
      </c>
      <c r="T539" s="52" t="n">
        <v>45</v>
      </c>
      <c r="U539" s="36" t="s">
        <v>282</v>
      </c>
      <c r="V539" s="52" t="n">
        <f aca="false">T539</f>
        <v>45</v>
      </c>
      <c r="W539" s="14" t="s">
        <v>283</v>
      </c>
      <c r="Y539" s="36" t="s">
        <v>204</v>
      </c>
      <c r="Z539" s="53" t="n">
        <f aca="false">Z545++Z551+Z554</f>
        <v>43.2081333333333</v>
      </c>
    </row>
    <row r="540" customFormat="false" ht="15" hidden="false" customHeight="false" outlineLevel="0" collapsed="false">
      <c r="Q540" s="14" t="s">
        <v>284</v>
      </c>
      <c r="R540" s="14" t="s">
        <v>285</v>
      </c>
      <c r="V540" s="36" t="s">
        <v>123</v>
      </c>
      <c r="W540" s="36" t="s">
        <v>286</v>
      </c>
      <c r="X540" s="36" t="s">
        <v>287</v>
      </c>
      <c r="Y540" s="36" t="s">
        <v>288</v>
      </c>
      <c r="Z540" s="36" t="s">
        <v>289</v>
      </c>
    </row>
    <row r="541" customFormat="false" ht="15" hidden="false" customHeight="false" outlineLevel="0" collapsed="false">
      <c r="R541" s="54" t="s">
        <v>290</v>
      </c>
    </row>
    <row r="542" customFormat="false" ht="15" hidden="false" customHeight="false" outlineLevel="0" collapsed="false">
      <c r="R542" s="1" t="s">
        <v>291</v>
      </c>
      <c r="V542" s="55" t="s">
        <v>292</v>
      </c>
      <c r="W542" s="56" t="n">
        <v>1</v>
      </c>
      <c r="X542" s="57" t="n">
        <f aca="false">W542*8/$T$539</f>
        <v>0.177777777777778</v>
      </c>
      <c r="Y542" s="28" t="n">
        <v>28.94</v>
      </c>
      <c r="Z542" s="28" t="n">
        <f aca="false">X542*Y542</f>
        <v>5.14488888888889</v>
      </c>
    </row>
    <row r="543" customFormat="false" ht="15" hidden="false" customHeight="false" outlineLevel="0" collapsed="false">
      <c r="R543" s="1" t="s">
        <v>293</v>
      </c>
      <c r="V543" s="55" t="s">
        <v>292</v>
      </c>
      <c r="W543" s="56" t="n">
        <v>1</v>
      </c>
      <c r="X543" s="57" t="n">
        <f aca="false">W543*8/$T$539</f>
        <v>0.177777777777778</v>
      </c>
      <c r="Y543" s="28" t="n">
        <v>22.66</v>
      </c>
      <c r="Z543" s="28" t="n">
        <f aca="false">X543*Y543</f>
        <v>4.02844444444444</v>
      </c>
    </row>
    <row r="544" customFormat="false" ht="15" hidden="false" customHeight="false" outlineLevel="0" collapsed="false">
      <c r="R544" s="1" t="s">
        <v>294</v>
      </c>
      <c r="V544" s="55" t="s">
        <v>292</v>
      </c>
      <c r="W544" s="56" t="n">
        <v>4</v>
      </c>
      <c r="X544" s="57" t="n">
        <f aca="false">W544*8/$T$539</f>
        <v>0.711111111111111</v>
      </c>
      <c r="Y544" s="28" t="n">
        <v>20.51</v>
      </c>
      <c r="Z544" s="28" t="n">
        <f aca="false">X544*Y544</f>
        <v>14.5848888888889</v>
      </c>
    </row>
    <row r="545" customFormat="false" ht="15" hidden="false" customHeight="false" outlineLevel="0" collapsed="false">
      <c r="Z545" s="53" t="n">
        <f aca="false">SUM(Z542:Z544)</f>
        <v>23.7582222222222</v>
      </c>
      <c r="AC545" s="14"/>
    </row>
    <row r="546" customFormat="false" ht="15" hidden="false" customHeight="false" outlineLevel="0" collapsed="false">
      <c r="R546" s="54" t="s">
        <v>295</v>
      </c>
    </row>
    <row r="547" customFormat="false" ht="15" hidden="false" customHeight="false" outlineLevel="0" collapsed="false">
      <c r="R547" s="1" t="s">
        <v>435</v>
      </c>
      <c r="V547" s="55" t="s">
        <v>420</v>
      </c>
      <c r="W547" s="56"/>
      <c r="X547" s="1" t="n">
        <v>0.1</v>
      </c>
      <c r="Y547" s="1" t="n">
        <v>0.42</v>
      </c>
      <c r="Z547" s="28" t="n">
        <f aca="false">X547*Y547</f>
        <v>0.042</v>
      </c>
    </row>
    <row r="548" customFormat="false" ht="15" hidden="false" customHeight="false" outlineLevel="0" collapsed="false">
      <c r="R548" s="1" t="s">
        <v>436</v>
      </c>
      <c r="V548" s="55" t="s">
        <v>150</v>
      </c>
      <c r="W548" s="56"/>
      <c r="X548" s="1" t="n">
        <v>0.5</v>
      </c>
      <c r="Y548" s="1" t="n">
        <v>10.17</v>
      </c>
      <c r="Z548" s="28" t="n">
        <f aca="false">X548*Y548</f>
        <v>5.085</v>
      </c>
    </row>
    <row r="549" customFormat="false" ht="15" hidden="false" customHeight="false" outlineLevel="0" collapsed="false">
      <c r="R549" s="1" t="s">
        <v>357</v>
      </c>
      <c r="V549" s="55" t="s">
        <v>351</v>
      </c>
      <c r="W549" s="56"/>
      <c r="X549" s="1" t="n">
        <v>0.5</v>
      </c>
      <c r="Y549" s="1" t="n">
        <v>14.41</v>
      </c>
      <c r="Z549" s="28" t="n">
        <f aca="false">X549*Y549</f>
        <v>7.205</v>
      </c>
    </row>
    <row r="550" customFormat="false" ht="15" hidden="false" customHeight="false" outlineLevel="0" collapsed="false">
      <c r="R550" s="1" t="s">
        <v>437</v>
      </c>
      <c r="V550" s="55" t="s">
        <v>150</v>
      </c>
      <c r="X550" s="1" t="n">
        <v>0.5</v>
      </c>
      <c r="Y550" s="1" t="n">
        <v>11.86</v>
      </c>
      <c r="Z550" s="28" t="n">
        <f aca="false">X550*Y550</f>
        <v>5.93</v>
      </c>
      <c r="AC550" s="14"/>
    </row>
    <row r="551" customFormat="false" ht="15" hidden="false" customHeight="false" outlineLevel="0" collapsed="false">
      <c r="V551" s="55"/>
      <c r="X551" s="57"/>
      <c r="Y551" s="28"/>
      <c r="Z551" s="53" t="n">
        <f aca="false">SUM(Z547:Z550)</f>
        <v>18.262</v>
      </c>
    </row>
    <row r="552" customFormat="false" ht="15" hidden="false" customHeight="false" outlineLevel="0" collapsed="false">
      <c r="R552" s="54" t="s">
        <v>310</v>
      </c>
    </row>
    <row r="553" customFormat="false" ht="15" hidden="false" customHeight="false" outlineLevel="0" collapsed="false">
      <c r="R553" s="1" t="s">
        <v>311</v>
      </c>
      <c r="V553" s="55" t="s">
        <v>312</v>
      </c>
      <c r="X553" s="57" t="n">
        <v>5</v>
      </c>
      <c r="Y553" s="28" t="n">
        <f aca="false">Z545</f>
        <v>23.7582222222222</v>
      </c>
      <c r="Z553" s="28" t="n">
        <f aca="false">X553%*Y553</f>
        <v>1.18791111111111</v>
      </c>
    </row>
    <row r="554" customFormat="false" ht="15" hidden="false" customHeight="false" outlineLevel="0" collapsed="false">
      <c r="Q554" s="60"/>
      <c r="R554" s="60"/>
      <c r="S554" s="60"/>
      <c r="T554" s="60"/>
      <c r="U554" s="60"/>
      <c r="V554" s="60"/>
      <c r="W554" s="60"/>
      <c r="X554" s="60"/>
      <c r="Y554" s="60"/>
      <c r="Z554" s="61" t="n">
        <f aca="false">SUM(Z553)</f>
        <v>1.18791111111111</v>
      </c>
    </row>
    <row r="555" customFormat="false" ht="15" hidden="false" customHeight="false" outlineLevel="0" collapsed="false">
      <c r="V555" s="55"/>
      <c r="X555" s="57"/>
      <c r="Y555" s="28"/>
      <c r="Z555" s="28"/>
    </row>
    <row r="556" customFormat="false" ht="15" hidden="false" customHeight="false" outlineLevel="0" collapsed="false">
      <c r="Q556" s="14" t="s">
        <v>278</v>
      </c>
      <c r="R556" s="14"/>
      <c r="S556" s="14" t="s">
        <v>235</v>
      </c>
      <c r="T556" s="14"/>
      <c r="U556" s="14"/>
      <c r="V556" s="14"/>
      <c r="W556" s="14"/>
      <c r="X556" s="14"/>
      <c r="Y556" s="14"/>
    </row>
    <row r="557" customFormat="false" ht="15" hidden="false" customHeight="false" outlineLevel="0" collapsed="false">
      <c r="Q557" s="14" t="s">
        <v>279</v>
      </c>
      <c r="R557" s="14" t="s">
        <v>417</v>
      </c>
      <c r="S557" s="36" t="s">
        <v>281</v>
      </c>
      <c r="T557" s="52" t="n">
        <v>250</v>
      </c>
      <c r="U557" s="36" t="s">
        <v>282</v>
      </c>
      <c r="V557" s="52" t="n">
        <f aca="false">T557</f>
        <v>250</v>
      </c>
      <c r="W557" s="14" t="s">
        <v>283</v>
      </c>
      <c r="Y557" s="36" t="s">
        <v>204</v>
      </c>
      <c r="Z557" s="53" t="n">
        <f aca="false">Z562++Z565+Z569</f>
        <v>13.786064</v>
      </c>
    </row>
    <row r="558" customFormat="false" ht="15" hidden="false" customHeight="false" outlineLevel="0" collapsed="false">
      <c r="Q558" s="14" t="s">
        <v>284</v>
      </c>
      <c r="R558" s="14" t="s">
        <v>285</v>
      </c>
      <c r="V558" s="36" t="s">
        <v>123</v>
      </c>
      <c r="W558" s="36" t="s">
        <v>286</v>
      </c>
      <c r="X558" s="36" t="s">
        <v>287</v>
      </c>
      <c r="Y558" s="36" t="s">
        <v>288</v>
      </c>
      <c r="Z558" s="36" t="s">
        <v>289</v>
      </c>
      <c r="AC558" s="14"/>
      <c r="AD558" s="14"/>
      <c r="AE558" s="14"/>
      <c r="AF558" s="14"/>
      <c r="AG558" s="14"/>
      <c r="AH558" s="14"/>
    </row>
    <row r="559" customFormat="false" ht="15" hidden="false" customHeight="false" outlineLevel="0" collapsed="false">
      <c r="R559" s="54" t="s">
        <v>290</v>
      </c>
      <c r="AC559" s="14"/>
    </row>
    <row r="560" customFormat="false" ht="15" hidden="false" customHeight="false" outlineLevel="0" collapsed="false">
      <c r="R560" s="1" t="s">
        <v>438</v>
      </c>
      <c r="V560" s="55" t="s">
        <v>292</v>
      </c>
      <c r="W560" s="56" t="n">
        <v>2</v>
      </c>
      <c r="X560" s="57" t="n">
        <f aca="false">W560*8/$T$557</f>
        <v>0.064</v>
      </c>
      <c r="Y560" s="28" t="n">
        <v>28.94</v>
      </c>
      <c r="Z560" s="28" t="n">
        <f aca="false">X560*Y560</f>
        <v>1.85216</v>
      </c>
    </row>
    <row r="561" customFormat="false" ht="15" hidden="false" customHeight="false" outlineLevel="0" collapsed="false">
      <c r="R561" s="1" t="s">
        <v>294</v>
      </c>
      <c r="V561" s="55" t="s">
        <v>292</v>
      </c>
      <c r="W561" s="56" t="n">
        <v>1</v>
      </c>
      <c r="X561" s="57" t="n">
        <f aca="false">W561*8/$T$557</f>
        <v>0.032</v>
      </c>
      <c r="Y561" s="28" t="n">
        <v>20.51</v>
      </c>
      <c r="Z561" s="28" t="n">
        <f aca="false">X561*Y561</f>
        <v>0.65632</v>
      </c>
    </row>
    <row r="562" customFormat="false" ht="15" hidden="false" customHeight="false" outlineLevel="0" collapsed="false">
      <c r="Z562" s="53" t="n">
        <f aca="false">SUM(Z560:Z561)</f>
        <v>2.50848</v>
      </c>
      <c r="AC562" s="14"/>
    </row>
    <row r="563" customFormat="false" ht="15" hidden="false" customHeight="false" outlineLevel="0" collapsed="false">
      <c r="R563" s="54" t="s">
        <v>295</v>
      </c>
    </row>
    <row r="564" customFormat="false" ht="15" hidden="false" customHeight="false" outlineLevel="0" collapsed="false">
      <c r="R564" s="1" t="s">
        <v>439</v>
      </c>
      <c r="V564" s="55" t="s">
        <v>440</v>
      </c>
      <c r="W564" s="56"/>
      <c r="X564" s="57" t="n">
        <v>0.24</v>
      </c>
      <c r="Y564" s="1" t="n">
        <v>14.83</v>
      </c>
      <c r="Z564" s="28" t="n">
        <f aca="false">X564*Y564</f>
        <v>3.5592</v>
      </c>
      <c r="AC564" s="14"/>
    </row>
    <row r="565" customFormat="false" ht="15" hidden="false" customHeight="false" outlineLevel="0" collapsed="false">
      <c r="V565" s="55"/>
      <c r="X565" s="57"/>
      <c r="Y565" s="28"/>
      <c r="Z565" s="53" t="n">
        <f aca="false">SUM(Z564)</f>
        <v>3.5592</v>
      </c>
    </row>
    <row r="566" customFormat="false" ht="15" hidden="false" customHeight="false" outlineLevel="0" collapsed="false">
      <c r="R566" s="54" t="s">
        <v>310</v>
      </c>
    </row>
    <row r="567" customFormat="false" ht="15" hidden="false" customHeight="false" outlineLevel="0" collapsed="false">
      <c r="R567" s="1" t="s">
        <v>311</v>
      </c>
      <c r="V567" s="55" t="s">
        <v>312</v>
      </c>
      <c r="X567" s="57" t="n">
        <v>5</v>
      </c>
      <c r="Y567" s="28" t="n">
        <f aca="false">Z562</f>
        <v>2.50848</v>
      </c>
      <c r="Z567" s="28" t="n">
        <f aca="false">X567%*Y567</f>
        <v>0.125424</v>
      </c>
    </row>
    <row r="568" customFormat="false" ht="15" hidden="false" customHeight="false" outlineLevel="0" collapsed="false">
      <c r="R568" s="1" t="s">
        <v>441</v>
      </c>
      <c r="V568" s="55" t="s">
        <v>338</v>
      </c>
      <c r="W568" s="56" t="n">
        <v>2</v>
      </c>
      <c r="X568" s="57" t="n">
        <f aca="false">W568*8/$T$557</f>
        <v>0.064</v>
      </c>
      <c r="Y568" s="28" t="n">
        <v>118.64</v>
      </c>
      <c r="Z568" s="28" t="n">
        <f aca="false">X568*Y568</f>
        <v>7.59296</v>
      </c>
    </row>
    <row r="569" customFormat="false" ht="15" hidden="false" customHeight="false" outlineLevel="0" collapsed="false">
      <c r="Q569" s="60"/>
      <c r="R569" s="60"/>
      <c r="S569" s="60"/>
      <c r="T569" s="60"/>
      <c r="U569" s="60"/>
      <c r="V569" s="60"/>
      <c r="W569" s="60"/>
      <c r="X569" s="60"/>
      <c r="Y569" s="60"/>
      <c r="Z569" s="61" t="n">
        <f aca="false">SUM(Z567:Z568)</f>
        <v>7.718384</v>
      </c>
    </row>
    <row r="571" customFormat="false" ht="15" hidden="false" customHeight="false" outlineLevel="0" collapsed="false">
      <c r="Q571" s="14" t="s">
        <v>278</v>
      </c>
      <c r="R571" s="14"/>
      <c r="S571" s="14" t="s">
        <v>239</v>
      </c>
      <c r="T571" s="14"/>
      <c r="U571" s="14"/>
      <c r="V571" s="14"/>
      <c r="W571" s="14"/>
      <c r="X571" s="14"/>
      <c r="Y571" s="14"/>
    </row>
    <row r="572" customFormat="false" ht="15" hidden="false" customHeight="false" outlineLevel="0" collapsed="false">
      <c r="Q572" s="14" t="s">
        <v>279</v>
      </c>
      <c r="R572" s="14" t="s">
        <v>333</v>
      </c>
      <c r="S572" s="36" t="s">
        <v>281</v>
      </c>
      <c r="T572" s="52" t="n">
        <v>1</v>
      </c>
      <c r="U572" s="36" t="s">
        <v>282</v>
      </c>
      <c r="V572" s="52" t="n">
        <f aca="false">T572</f>
        <v>1</v>
      </c>
      <c r="W572" s="14" t="s">
        <v>283</v>
      </c>
      <c r="Y572" s="36" t="s">
        <v>158</v>
      </c>
      <c r="Z572" s="53" t="n">
        <f aca="false">Z577++Z580+Z583</f>
        <v>68.271</v>
      </c>
    </row>
    <row r="573" customFormat="false" ht="15" hidden="false" customHeight="false" outlineLevel="0" collapsed="false">
      <c r="Q573" s="14" t="s">
        <v>284</v>
      </c>
      <c r="R573" s="14" t="s">
        <v>285</v>
      </c>
      <c r="V573" s="36" t="s">
        <v>123</v>
      </c>
      <c r="W573" s="36" t="s">
        <v>286</v>
      </c>
      <c r="X573" s="36" t="s">
        <v>287</v>
      </c>
      <c r="Y573" s="36" t="s">
        <v>288</v>
      </c>
      <c r="Z573" s="36" t="s">
        <v>289</v>
      </c>
    </row>
    <row r="574" customFormat="false" ht="15" hidden="false" customHeight="false" outlineLevel="0" collapsed="false">
      <c r="R574" s="54" t="s">
        <v>290</v>
      </c>
    </row>
    <row r="575" customFormat="false" ht="15" hidden="false" customHeight="false" outlineLevel="0" collapsed="false">
      <c r="V575" s="55"/>
      <c r="W575" s="56"/>
      <c r="X575" s="57"/>
      <c r="Y575" s="28"/>
      <c r="Z575" s="28"/>
    </row>
    <row r="576" customFormat="false" ht="15" hidden="false" customHeight="false" outlineLevel="0" collapsed="false">
      <c r="R576" s="1" t="s">
        <v>294</v>
      </c>
      <c r="V576" s="55" t="s">
        <v>292</v>
      </c>
      <c r="W576" s="56" t="n">
        <v>0.25</v>
      </c>
      <c r="X576" s="57" t="n">
        <f aca="false">W576*8/$T$572</f>
        <v>2</v>
      </c>
      <c r="Y576" s="28" t="n">
        <v>20.51</v>
      </c>
      <c r="Z576" s="28" t="n">
        <f aca="false">X576*Y576</f>
        <v>41.02</v>
      </c>
    </row>
    <row r="577" customFormat="false" ht="15" hidden="false" customHeight="false" outlineLevel="0" collapsed="false">
      <c r="Z577" s="53" t="n">
        <f aca="false">SUM(Z576)</f>
        <v>41.02</v>
      </c>
    </row>
    <row r="578" customFormat="false" ht="15" hidden="false" customHeight="false" outlineLevel="0" collapsed="false">
      <c r="R578" s="54" t="s">
        <v>295</v>
      </c>
    </row>
    <row r="579" customFormat="false" ht="15" hidden="false" customHeight="false" outlineLevel="0" collapsed="false">
      <c r="R579" s="1" t="s">
        <v>442</v>
      </c>
      <c r="V579" s="55" t="s">
        <v>150</v>
      </c>
      <c r="W579" s="56"/>
      <c r="X579" s="57" t="n">
        <v>10</v>
      </c>
      <c r="Y579" s="1" t="n">
        <v>2.52</v>
      </c>
      <c r="Z579" s="28" t="n">
        <f aca="false">X579*Y579</f>
        <v>25.2</v>
      </c>
    </row>
    <row r="580" customFormat="false" ht="15" hidden="false" customHeight="false" outlineLevel="0" collapsed="false">
      <c r="V580" s="55"/>
      <c r="X580" s="57"/>
      <c r="Y580" s="28"/>
      <c r="Z580" s="53" t="n">
        <f aca="false">SUM(Z579)</f>
        <v>25.2</v>
      </c>
    </row>
    <row r="581" customFormat="false" ht="15" hidden="false" customHeight="false" outlineLevel="0" collapsed="false">
      <c r="R581" s="54" t="s">
        <v>310</v>
      </c>
    </row>
    <row r="582" customFormat="false" ht="15" hidden="false" customHeight="false" outlineLevel="0" collapsed="false">
      <c r="R582" s="1" t="s">
        <v>311</v>
      </c>
      <c r="V582" s="55" t="s">
        <v>312</v>
      </c>
      <c r="X582" s="57" t="n">
        <v>5</v>
      </c>
      <c r="Y582" s="28" t="n">
        <f aca="false">Z577</f>
        <v>41.02</v>
      </c>
      <c r="Z582" s="28" t="n">
        <f aca="false">X582%*Y582</f>
        <v>2.051</v>
      </c>
    </row>
    <row r="583" customFormat="false" ht="15" hidden="false" customHeight="false" outlineLevel="0" collapsed="false">
      <c r="Q583" s="60"/>
      <c r="R583" s="60"/>
      <c r="S583" s="60"/>
      <c r="T583" s="60"/>
      <c r="U583" s="60"/>
      <c r="V583" s="60"/>
      <c r="W583" s="60"/>
      <c r="X583" s="60"/>
      <c r="Y583" s="60"/>
      <c r="Z583" s="61" t="n">
        <f aca="false">SUM(Z582)</f>
        <v>2.051</v>
      </c>
    </row>
    <row r="585" customFormat="false" ht="15" hidden="false" customHeight="false" outlineLevel="0" collapsed="false">
      <c r="Q585" s="14" t="s">
        <v>278</v>
      </c>
      <c r="R585" s="14"/>
      <c r="S585" s="14" t="s">
        <v>241</v>
      </c>
      <c r="T585" s="14"/>
      <c r="U585" s="14"/>
      <c r="V585" s="14"/>
      <c r="W585" s="14"/>
      <c r="X585" s="14"/>
      <c r="Y585" s="14"/>
    </row>
    <row r="586" customFormat="false" ht="15" hidden="false" customHeight="false" outlineLevel="0" collapsed="false">
      <c r="Q586" s="14" t="s">
        <v>279</v>
      </c>
      <c r="R586" s="14" t="s">
        <v>417</v>
      </c>
      <c r="S586" s="36" t="s">
        <v>281</v>
      </c>
      <c r="T586" s="52" t="n">
        <v>250</v>
      </c>
      <c r="U586" s="36" t="s">
        <v>282</v>
      </c>
      <c r="V586" s="52" t="n">
        <f aca="false">T586</f>
        <v>250</v>
      </c>
      <c r="W586" s="14" t="s">
        <v>283</v>
      </c>
      <c r="Y586" s="36" t="s">
        <v>204</v>
      </c>
      <c r="Z586" s="53" t="n">
        <f aca="false">Z591++Z594+Z598</f>
        <v>13.786064</v>
      </c>
    </row>
    <row r="587" customFormat="false" ht="15" hidden="false" customHeight="false" outlineLevel="0" collapsed="false">
      <c r="Q587" s="14" t="s">
        <v>284</v>
      </c>
      <c r="R587" s="14" t="s">
        <v>285</v>
      </c>
      <c r="V587" s="36" t="s">
        <v>123</v>
      </c>
      <c r="W587" s="36" t="s">
        <v>286</v>
      </c>
      <c r="X587" s="36" t="s">
        <v>287</v>
      </c>
      <c r="Y587" s="36" t="s">
        <v>288</v>
      </c>
      <c r="Z587" s="36" t="s">
        <v>289</v>
      </c>
    </row>
    <row r="588" customFormat="false" ht="15" hidden="false" customHeight="false" outlineLevel="0" collapsed="false">
      <c r="R588" s="54" t="s">
        <v>290</v>
      </c>
    </row>
    <row r="589" customFormat="false" ht="15" hidden="false" customHeight="false" outlineLevel="0" collapsed="false">
      <c r="R589" s="1" t="s">
        <v>438</v>
      </c>
      <c r="V589" s="55" t="s">
        <v>292</v>
      </c>
      <c r="W589" s="56" t="n">
        <v>2</v>
      </c>
      <c r="X589" s="57" t="n">
        <f aca="false">W589*8/$T$586</f>
        <v>0.064</v>
      </c>
      <c r="Y589" s="28" t="n">
        <v>28.94</v>
      </c>
      <c r="Z589" s="28" t="n">
        <f aca="false">X589*Y589</f>
        <v>1.85216</v>
      </c>
    </row>
    <row r="590" customFormat="false" ht="15" hidden="false" customHeight="false" outlineLevel="0" collapsed="false">
      <c r="R590" s="1" t="s">
        <v>294</v>
      </c>
      <c r="V590" s="55" t="s">
        <v>292</v>
      </c>
      <c r="W590" s="56" t="n">
        <v>1</v>
      </c>
      <c r="X590" s="57" t="n">
        <f aca="false">W590*8/$T$586</f>
        <v>0.032</v>
      </c>
      <c r="Y590" s="28" t="n">
        <v>20.51</v>
      </c>
      <c r="Z590" s="28" t="n">
        <f aca="false">X590*Y590</f>
        <v>0.65632</v>
      </c>
    </row>
    <row r="591" customFormat="false" ht="15" hidden="false" customHeight="false" outlineLevel="0" collapsed="false">
      <c r="Z591" s="53" t="n">
        <f aca="false">SUM(Z589:Z590)</f>
        <v>2.50848</v>
      </c>
    </row>
    <row r="592" customFormat="false" ht="15" hidden="false" customHeight="false" outlineLevel="0" collapsed="false">
      <c r="R592" s="54" t="s">
        <v>295</v>
      </c>
    </row>
    <row r="593" customFormat="false" ht="15" hidden="false" customHeight="false" outlineLevel="0" collapsed="false">
      <c r="R593" s="1" t="s">
        <v>439</v>
      </c>
      <c r="V593" s="55" t="s">
        <v>440</v>
      </c>
      <c r="W593" s="56"/>
      <c r="X593" s="57" t="n">
        <v>0.24</v>
      </c>
      <c r="Y593" s="1" t="n">
        <v>14.83</v>
      </c>
      <c r="Z593" s="28" t="n">
        <f aca="false">X593*Y593</f>
        <v>3.5592</v>
      </c>
    </row>
    <row r="594" customFormat="false" ht="15" hidden="false" customHeight="false" outlineLevel="0" collapsed="false">
      <c r="V594" s="55"/>
      <c r="X594" s="57"/>
      <c r="Y594" s="28"/>
      <c r="Z594" s="53" t="n">
        <f aca="false">SUM(Z593)</f>
        <v>3.5592</v>
      </c>
    </row>
    <row r="595" customFormat="false" ht="15" hidden="false" customHeight="false" outlineLevel="0" collapsed="false">
      <c r="R595" s="54" t="s">
        <v>310</v>
      </c>
    </row>
    <row r="596" customFormat="false" ht="15" hidden="false" customHeight="false" outlineLevel="0" collapsed="false">
      <c r="R596" s="1" t="s">
        <v>311</v>
      </c>
      <c r="V596" s="55" t="s">
        <v>312</v>
      </c>
      <c r="X596" s="57" t="n">
        <v>5</v>
      </c>
      <c r="Y596" s="28" t="n">
        <f aca="false">Z591</f>
        <v>2.50848</v>
      </c>
      <c r="Z596" s="28" t="n">
        <f aca="false">X596%*Y596</f>
        <v>0.125424</v>
      </c>
    </row>
    <row r="597" customFormat="false" ht="15" hidden="false" customHeight="false" outlineLevel="0" collapsed="false">
      <c r="R597" s="1" t="s">
        <v>441</v>
      </c>
      <c r="V597" s="55" t="s">
        <v>338</v>
      </c>
      <c r="W597" s="56" t="n">
        <v>2</v>
      </c>
      <c r="X597" s="57" t="n">
        <f aca="false">W597*8/$T$557</f>
        <v>0.064</v>
      </c>
      <c r="Y597" s="28" t="n">
        <v>118.64</v>
      </c>
      <c r="Z597" s="28" t="n">
        <f aca="false">X597*Y597</f>
        <v>7.59296</v>
      </c>
    </row>
    <row r="598" customFormat="false" ht="15" hidden="false" customHeight="false" outlineLevel="0" collapsed="false">
      <c r="Q598" s="60"/>
      <c r="R598" s="60"/>
      <c r="S598" s="60"/>
      <c r="T598" s="60"/>
      <c r="U598" s="60"/>
      <c r="V598" s="60"/>
      <c r="W598" s="60"/>
      <c r="X598" s="60"/>
      <c r="Y598" s="60"/>
      <c r="Z598" s="61" t="n">
        <f aca="false">SUM(Z596:Z597)</f>
        <v>7.718384</v>
      </c>
    </row>
    <row r="600" customFormat="false" ht="15" hidden="false" customHeight="false" outlineLevel="0" collapsed="false">
      <c r="Q600" s="14" t="s">
        <v>278</v>
      </c>
      <c r="R600" s="14"/>
      <c r="S600" s="14" t="s">
        <v>245</v>
      </c>
      <c r="T600" s="14"/>
      <c r="U600" s="14"/>
      <c r="V600" s="14"/>
      <c r="W600" s="14"/>
      <c r="X600" s="14"/>
      <c r="Y600" s="14"/>
    </row>
    <row r="601" customFormat="false" ht="15" hidden="false" customHeight="false" outlineLevel="0" collapsed="false">
      <c r="Q601" s="14" t="s">
        <v>279</v>
      </c>
      <c r="R601" s="14" t="s">
        <v>326</v>
      </c>
      <c r="S601" s="36" t="s">
        <v>281</v>
      </c>
      <c r="T601" s="52" t="n">
        <v>5</v>
      </c>
      <c r="U601" s="36" t="s">
        <v>282</v>
      </c>
      <c r="V601" s="52" t="n">
        <f aca="false">T601</f>
        <v>5</v>
      </c>
      <c r="W601" s="14" t="s">
        <v>283</v>
      </c>
      <c r="Y601" s="36" t="s">
        <v>150</v>
      </c>
      <c r="Z601" s="53" t="n">
        <f aca="false">Z605++Z611+Z614</f>
        <v>402.0068</v>
      </c>
    </row>
    <row r="602" customFormat="false" ht="15" hidden="false" customHeight="false" outlineLevel="0" collapsed="false">
      <c r="Q602" s="14" t="s">
        <v>284</v>
      </c>
      <c r="R602" s="14" t="s">
        <v>285</v>
      </c>
      <c r="V602" s="36" t="s">
        <v>123</v>
      </c>
      <c r="W602" s="36" t="s">
        <v>286</v>
      </c>
      <c r="X602" s="36" t="s">
        <v>287</v>
      </c>
      <c r="Y602" s="36" t="s">
        <v>288</v>
      </c>
      <c r="Z602" s="36" t="s">
        <v>289</v>
      </c>
    </row>
    <row r="603" customFormat="false" ht="15" hidden="false" customHeight="false" outlineLevel="0" collapsed="false">
      <c r="R603" s="54" t="s">
        <v>290</v>
      </c>
    </row>
    <row r="604" customFormat="false" ht="15" hidden="false" customHeight="false" outlineLevel="0" collapsed="false">
      <c r="R604" s="1" t="s">
        <v>294</v>
      </c>
      <c r="V604" s="55" t="s">
        <v>292</v>
      </c>
      <c r="W604" s="56" t="n">
        <v>1</v>
      </c>
      <c r="X604" s="57" t="n">
        <f aca="false">W604*8/$T$601</f>
        <v>1.6</v>
      </c>
      <c r="Y604" s="28" t="n">
        <v>20.51</v>
      </c>
      <c r="Z604" s="28" t="n">
        <f aca="false">X604*Y604</f>
        <v>32.816</v>
      </c>
    </row>
    <row r="605" customFormat="false" ht="15" hidden="false" customHeight="false" outlineLevel="0" collapsed="false">
      <c r="Z605" s="53" t="n">
        <f aca="false">SUM(Z604:Z604)</f>
        <v>32.816</v>
      </c>
    </row>
    <row r="606" customFormat="false" ht="15" hidden="false" customHeight="false" outlineLevel="0" collapsed="false">
      <c r="R606" s="54" t="s">
        <v>295</v>
      </c>
    </row>
    <row r="607" customFormat="false" ht="15" hidden="false" customHeight="false" outlineLevel="0" collapsed="false">
      <c r="R607" s="1" t="s">
        <v>443</v>
      </c>
      <c r="V607" s="55" t="s">
        <v>420</v>
      </c>
      <c r="X607" s="57" t="n">
        <v>2</v>
      </c>
      <c r="Y607" s="28" t="n">
        <v>8.22</v>
      </c>
      <c r="Z607" s="28" t="n">
        <f aca="false">X607*Y607</f>
        <v>16.44</v>
      </c>
    </row>
    <row r="608" customFormat="false" ht="15" hidden="false" customHeight="false" outlineLevel="0" collapsed="false">
      <c r="R608" s="1" t="s">
        <v>444</v>
      </c>
      <c r="V608" s="55" t="s">
        <v>150</v>
      </c>
      <c r="W608" s="56"/>
      <c r="X608" s="57" t="n">
        <v>1</v>
      </c>
      <c r="Y608" s="28" t="n">
        <v>216.34</v>
      </c>
      <c r="Z608" s="28" t="n">
        <f aca="false">X608*Y608</f>
        <v>216.34</v>
      </c>
    </row>
    <row r="609" customFormat="false" ht="15" hidden="false" customHeight="false" outlineLevel="0" collapsed="false">
      <c r="R609" s="1" t="s">
        <v>445</v>
      </c>
      <c r="V609" s="55" t="s">
        <v>150</v>
      </c>
      <c r="X609" s="57" t="n">
        <v>25</v>
      </c>
      <c r="Y609" s="28" t="n">
        <v>1.8</v>
      </c>
      <c r="Z609" s="28" t="n">
        <f aca="false">X609*Y609</f>
        <v>45</v>
      </c>
    </row>
    <row r="610" customFormat="false" ht="15" hidden="false" customHeight="false" outlineLevel="0" collapsed="false">
      <c r="R610" s="1" t="s">
        <v>446</v>
      </c>
      <c r="V610" s="55" t="s">
        <v>373</v>
      </c>
      <c r="X610" s="57" t="n">
        <v>0.5</v>
      </c>
      <c r="Y610" s="28" t="n">
        <v>179.54</v>
      </c>
      <c r="Z610" s="28" t="n">
        <f aca="false">X610*Y610</f>
        <v>89.77</v>
      </c>
    </row>
    <row r="611" customFormat="false" ht="15" hidden="false" customHeight="false" outlineLevel="0" collapsed="false">
      <c r="V611" s="55"/>
      <c r="X611" s="57"/>
      <c r="Y611" s="28"/>
      <c r="Z611" s="53" t="n">
        <f aca="false">SUM(Z607:Z610)</f>
        <v>367.55</v>
      </c>
    </row>
    <row r="612" customFormat="false" ht="15" hidden="false" customHeight="false" outlineLevel="0" collapsed="false">
      <c r="R612" s="54" t="s">
        <v>310</v>
      </c>
    </row>
    <row r="613" customFormat="false" ht="15" hidden="false" customHeight="false" outlineLevel="0" collapsed="false">
      <c r="R613" s="1" t="s">
        <v>311</v>
      </c>
      <c r="V613" s="55" t="s">
        <v>312</v>
      </c>
      <c r="X613" s="57" t="n">
        <v>5</v>
      </c>
      <c r="Y613" s="28" t="n">
        <f aca="false">Z605</f>
        <v>32.816</v>
      </c>
      <c r="Z613" s="28" t="n">
        <f aca="false">X613%*Y613</f>
        <v>1.6408</v>
      </c>
    </row>
    <row r="614" customFormat="false" ht="15" hidden="false" customHeight="false" outlineLevel="0" collapsed="false">
      <c r="Q614" s="60"/>
      <c r="R614" s="60"/>
      <c r="S614" s="60"/>
      <c r="T614" s="60"/>
      <c r="U614" s="60"/>
      <c r="V614" s="60"/>
      <c r="W614" s="60"/>
      <c r="X614" s="60"/>
      <c r="Y614" s="60"/>
      <c r="Z614" s="61" t="n">
        <f aca="false">SUM(Z613:Z613)</f>
        <v>1.6408</v>
      </c>
    </row>
    <row r="616" customFormat="false" ht="15" hidden="false" customHeight="false" outlineLevel="0" collapsed="false">
      <c r="Q616" s="14" t="s">
        <v>278</v>
      </c>
      <c r="R616" s="14"/>
      <c r="S616" s="14" t="s">
        <v>1266</v>
      </c>
      <c r="T616" s="14"/>
      <c r="U616" s="14"/>
      <c r="V616" s="14"/>
      <c r="W616" s="14"/>
      <c r="X616" s="14"/>
      <c r="Y616" s="14"/>
    </row>
    <row r="617" customFormat="false" ht="15" hidden="false" customHeight="false" outlineLevel="0" collapsed="false">
      <c r="Q617" s="14" t="s">
        <v>279</v>
      </c>
      <c r="R617" s="14" t="s">
        <v>280</v>
      </c>
      <c r="S617" s="36" t="s">
        <v>281</v>
      </c>
      <c r="T617" s="52" t="n">
        <v>150</v>
      </c>
      <c r="U617" s="36" t="s">
        <v>282</v>
      </c>
      <c r="V617" s="52" t="n">
        <f aca="false">T617</f>
        <v>150</v>
      </c>
      <c r="W617" s="14" t="s">
        <v>283</v>
      </c>
      <c r="Y617" s="36" t="s">
        <v>134</v>
      </c>
      <c r="Z617" s="53" t="n">
        <f aca="false">Z622+Z626</f>
        <v>6.94930666666667</v>
      </c>
    </row>
    <row r="618" customFormat="false" ht="15" hidden="false" customHeight="false" outlineLevel="0" collapsed="false">
      <c r="Q618" s="14" t="s">
        <v>284</v>
      </c>
      <c r="R618" s="14" t="s">
        <v>285</v>
      </c>
      <c r="V618" s="36" t="s">
        <v>123</v>
      </c>
      <c r="W618" s="36" t="s">
        <v>286</v>
      </c>
      <c r="X618" s="36" t="s">
        <v>287</v>
      </c>
      <c r="Y618" s="36" t="s">
        <v>288</v>
      </c>
      <c r="Z618" s="36" t="s">
        <v>289</v>
      </c>
    </row>
    <row r="619" customFormat="false" ht="15" hidden="false" customHeight="false" outlineLevel="0" collapsed="false">
      <c r="R619" s="54" t="s">
        <v>290</v>
      </c>
    </row>
    <row r="620" customFormat="false" ht="15" hidden="false" customHeight="false" outlineLevel="0" collapsed="false">
      <c r="R620" s="1" t="s">
        <v>438</v>
      </c>
      <c r="V620" s="55" t="s">
        <v>292</v>
      </c>
      <c r="W620" s="56" t="n">
        <v>0.5</v>
      </c>
      <c r="X620" s="57" t="n">
        <f aca="false">W620*8/$T$617</f>
        <v>0.0266666666666667</v>
      </c>
      <c r="Y620" s="28" t="n">
        <v>28.94</v>
      </c>
      <c r="Z620" s="28" t="n">
        <f aca="false">X620*Y620</f>
        <v>0.771733333333333</v>
      </c>
    </row>
    <row r="621" customFormat="false" ht="15" hidden="false" customHeight="false" outlineLevel="0" collapsed="false">
      <c r="R621" s="1" t="s">
        <v>294</v>
      </c>
      <c r="V621" s="55" t="s">
        <v>292</v>
      </c>
      <c r="W621" s="56" t="n">
        <v>2</v>
      </c>
      <c r="X621" s="57" t="n">
        <f aca="false">W621*8/$T$617</f>
        <v>0.106666666666667</v>
      </c>
      <c r="Y621" s="28" t="n">
        <v>20.51</v>
      </c>
      <c r="Z621" s="28" t="n">
        <f aca="false">X621*Y621</f>
        <v>2.18773333333333</v>
      </c>
    </row>
    <row r="622" customFormat="false" ht="15" hidden="false" customHeight="false" outlineLevel="0" collapsed="false">
      <c r="Z622" s="53" t="n">
        <f aca="false">SUM(Z620:Z621)</f>
        <v>2.95946666666667</v>
      </c>
    </row>
    <row r="623" customFormat="false" ht="15" hidden="false" customHeight="false" outlineLevel="0" collapsed="false">
      <c r="R623" s="54" t="s">
        <v>310</v>
      </c>
    </row>
    <row r="624" customFormat="false" ht="15" hidden="false" customHeight="false" outlineLevel="0" collapsed="false">
      <c r="R624" s="1" t="s">
        <v>311</v>
      </c>
      <c r="V624" s="55" t="s">
        <v>312</v>
      </c>
      <c r="X624" s="57" t="n">
        <v>5</v>
      </c>
      <c r="Y624" s="28" t="n">
        <f aca="false">Z622</f>
        <v>2.95946666666667</v>
      </c>
      <c r="Z624" s="28" t="n">
        <f aca="false">X624%*Y624</f>
        <v>0.147973333333333</v>
      </c>
    </row>
    <row r="625" customFormat="false" ht="15" hidden="false" customHeight="false" outlineLevel="0" collapsed="false">
      <c r="R625" s="1" t="s">
        <v>447</v>
      </c>
      <c r="V625" s="55" t="s">
        <v>338</v>
      </c>
      <c r="W625" s="56" t="n">
        <v>0.5</v>
      </c>
      <c r="X625" s="57" t="n">
        <f aca="false">W625*8/$T$617</f>
        <v>0.0266666666666667</v>
      </c>
      <c r="Y625" s="28" t="n">
        <v>144.07</v>
      </c>
      <c r="Z625" s="28" t="n">
        <f aca="false">X625*Y625</f>
        <v>3.84186666666667</v>
      </c>
    </row>
    <row r="626" customFormat="false" ht="15" hidden="false" customHeight="false" outlineLevel="0" collapsed="false">
      <c r="Q626" s="60"/>
      <c r="R626" s="60"/>
      <c r="S626" s="60"/>
      <c r="T626" s="60"/>
      <c r="U626" s="60"/>
      <c r="V626" s="60"/>
      <c r="W626" s="60"/>
      <c r="X626" s="60"/>
      <c r="Y626" s="60"/>
      <c r="Z626" s="61" t="n">
        <f aca="false">SUM(Z624:Z625)</f>
        <v>3.98984</v>
      </c>
    </row>
    <row r="628" customFormat="false" ht="15" hidden="false" customHeight="false" outlineLevel="0" collapsed="false">
      <c r="Q628" s="14" t="s">
        <v>278</v>
      </c>
      <c r="R628" s="14"/>
      <c r="S628" s="14" t="s">
        <v>251</v>
      </c>
      <c r="T628" s="14"/>
      <c r="U628" s="14"/>
      <c r="V628" s="14"/>
      <c r="W628" s="14"/>
      <c r="X628" s="14"/>
      <c r="Y628" s="14"/>
    </row>
    <row r="629" customFormat="false" ht="15" hidden="false" customHeight="false" outlineLevel="0" collapsed="false">
      <c r="Q629" s="14" t="s">
        <v>279</v>
      </c>
      <c r="R629" s="14" t="s">
        <v>417</v>
      </c>
      <c r="S629" s="36" t="s">
        <v>281</v>
      </c>
      <c r="T629" s="52" t="n">
        <v>250</v>
      </c>
      <c r="U629" s="36" t="s">
        <v>282</v>
      </c>
      <c r="V629" s="52" t="n">
        <f aca="false">T629</f>
        <v>250</v>
      </c>
      <c r="W629" s="14" t="s">
        <v>283</v>
      </c>
      <c r="Y629" s="36" t="s">
        <v>204</v>
      </c>
      <c r="Z629" s="53" t="n">
        <f aca="false">Z634++Z637+Z642</f>
        <v>24.086838</v>
      </c>
    </row>
    <row r="630" customFormat="false" ht="15" hidden="false" customHeight="false" outlineLevel="0" collapsed="false">
      <c r="Q630" s="14" t="s">
        <v>284</v>
      </c>
      <c r="R630" s="14" t="s">
        <v>285</v>
      </c>
      <c r="V630" s="36" t="s">
        <v>123</v>
      </c>
      <c r="W630" s="36" t="s">
        <v>286</v>
      </c>
      <c r="X630" s="36" t="s">
        <v>287</v>
      </c>
      <c r="Y630" s="36" t="s">
        <v>288</v>
      </c>
      <c r="Z630" s="36" t="s">
        <v>289</v>
      </c>
    </row>
    <row r="631" customFormat="false" ht="15" hidden="false" customHeight="false" outlineLevel="0" collapsed="false">
      <c r="R631" s="54" t="s">
        <v>290</v>
      </c>
    </row>
    <row r="632" customFormat="false" ht="15" hidden="false" customHeight="false" outlineLevel="0" collapsed="false">
      <c r="R632" s="1" t="s">
        <v>438</v>
      </c>
      <c r="V632" s="55" t="s">
        <v>292</v>
      </c>
      <c r="W632" s="56" t="n">
        <v>3</v>
      </c>
      <c r="X632" s="57" t="n">
        <f aca="false">W632*8/$T$629</f>
        <v>0.096</v>
      </c>
      <c r="Y632" s="28" t="n">
        <v>28.94</v>
      </c>
      <c r="Z632" s="28" t="n">
        <f aca="false">X632*Y632</f>
        <v>2.77824</v>
      </c>
    </row>
    <row r="633" customFormat="false" ht="15" hidden="false" customHeight="false" outlineLevel="0" collapsed="false">
      <c r="R633" s="1" t="s">
        <v>294</v>
      </c>
      <c r="V633" s="55" t="s">
        <v>292</v>
      </c>
      <c r="W633" s="56" t="n">
        <v>1</v>
      </c>
      <c r="X633" s="57" t="n">
        <f aca="false">W633*8/$T$629</f>
        <v>0.032</v>
      </c>
      <c r="Y633" s="28" t="n">
        <v>20.51</v>
      </c>
      <c r="Z633" s="28" t="n">
        <f aca="false">X633*Y633</f>
        <v>0.65632</v>
      </c>
    </row>
    <row r="634" customFormat="false" ht="15" hidden="false" customHeight="false" outlineLevel="0" collapsed="false">
      <c r="Z634" s="53" t="n">
        <f aca="false">SUM(Z632:Z633)</f>
        <v>3.43456</v>
      </c>
    </row>
    <row r="635" customFormat="false" ht="15" hidden="false" customHeight="false" outlineLevel="0" collapsed="false">
      <c r="R635" s="54" t="s">
        <v>295</v>
      </c>
    </row>
    <row r="636" customFormat="false" ht="15" hidden="false" customHeight="false" outlineLevel="0" collapsed="false">
      <c r="R636" s="1" t="s">
        <v>439</v>
      </c>
      <c r="V636" s="55" t="s">
        <v>440</v>
      </c>
      <c r="W636" s="56"/>
      <c r="X636" s="57" t="n">
        <v>0.357</v>
      </c>
      <c r="Y636" s="1" t="n">
        <v>14.83</v>
      </c>
      <c r="Z636" s="28" t="n">
        <f aca="false">X636*Y636</f>
        <v>5.29431</v>
      </c>
    </row>
    <row r="637" customFormat="false" ht="15" hidden="false" customHeight="false" outlineLevel="0" collapsed="false">
      <c r="V637" s="55"/>
      <c r="X637" s="57"/>
      <c r="Y637" s="28"/>
      <c r="Z637" s="53" t="n">
        <f aca="false">SUM(Z636)</f>
        <v>5.29431</v>
      </c>
    </row>
    <row r="638" customFormat="false" ht="15" hidden="false" customHeight="false" outlineLevel="0" collapsed="false">
      <c r="R638" s="54" t="s">
        <v>310</v>
      </c>
    </row>
    <row r="639" customFormat="false" ht="15" hidden="false" customHeight="false" outlineLevel="0" collapsed="false">
      <c r="R639" s="1" t="s">
        <v>311</v>
      </c>
      <c r="V639" s="55" t="s">
        <v>312</v>
      </c>
      <c r="X639" s="57" t="n">
        <v>5</v>
      </c>
      <c r="Y639" s="28" t="n">
        <f aca="false">Z634</f>
        <v>3.43456</v>
      </c>
      <c r="Z639" s="28" t="n">
        <f aca="false">X639%*Y639</f>
        <v>0.171728</v>
      </c>
    </row>
    <row r="640" customFormat="false" ht="15" hidden="false" customHeight="false" outlineLevel="0" collapsed="false">
      <c r="R640" s="1" t="s">
        <v>441</v>
      </c>
      <c r="V640" s="55" t="s">
        <v>338</v>
      </c>
      <c r="W640" s="56" t="n">
        <v>2</v>
      </c>
      <c r="X640" s="57" t="n">
        <f aca="false">W640*8/$T$629</f>
        <v>0.064</v>
      </c>
      <c r="Y640" s="28" t="n">
        <v>118.64</v>
      </c>
      <c r="Z640" s="28" t="n">
        <f aca="false">X640*Y640</f>
        <v>7.59296</v>
      </c>
    </row>
    <row r="641" customFormat="false" ht="15" hidden="false" customHeight="false" outlineLevel="0" collapsed="false">
      <c r="R641" s="1" t="s">
        <v>448</v>
      </c>
      <c r="V641" s="55" t="s">
        <v>338</v>
      </c>
      <c r="W641" s="56" t="n">
        <v>1</v>
      </c>
      <c r="X641" s="57" t="n">
        <f aca="false">W641*8/$T$629</f>
        <v>0.032</v>
      </c>
      <c r="Y641" s="28" t="n">
        <v>237.29</v>
      </c>
      <c r="Z641" s="28" t="n">
        <f aca="false">X641*Y641</f>
        <v>7.59328</v>
      </c>
    </row>
    <row r="642" customFormat="false" ht="15" hidden="false" customHeight="false" outlineLevel="0" collapsed="false">
      <c r="Q642" s="60"/>
      <c r="R642" s="60"/>
      <c r="S642" s="60"/>
      <c r="T642" s="60"/>
      <c r="U642" s="60"/>
      <c r="V642" s="60"/>
      <c r="W642" s="60"/>
      <c r="X642" s="60"/>
      <c r="Y642" s="60"/>
      <c r="Z642" s="61" t="n">
        <f aca="false">SUM(Z639:Z641)</f>
        <v>15.357968</v>
      </c>
    </row>
    <row r="644" customFormat="false" ht="15" hidden="false" customHeight="false" outlineLevel="0" collapsed="false">
      <c r="Q644" s="14" t="s">
        <v>278</v>
      </c>
      <c r="R644" s="14"/>
      <c r="S644" s="14" t="s">
        <v>253</v>
      </c>
      <c r="T644" s="14"/>
      <c r="U644" s="14"/>
      <c r="V644" s="14"/>
      <c r="W644" s="14"/>
      <c r="X644" s="14"/>
      <c r="Y644" s="14"/>
    </row>
    <row r="645" customFormat="false" ht="15" hidden="false" customHeight="false" outlineLevel="0" collapsed="false">
      <c r="Q645" s="14" t="s">
        <v>279</v>
      </c>
      <c r="R645" s="14" t="s">
        <v>280</v>
      </c>
      <c r="S645" s="36" t="s">
        <v>281</v>
      </c>
      <c r="T645" s="52" t="n">
        <v>50</v>
      </c>
      <c r="U645" s="36" t="s">
        <v>282</v>
      </c>
      <c r="V645" s="52" t="n">
        <f aca="false">T645</f>
        <v>50</v>
      </c>
      <c r="W645" s="14" t="s">
        <v>283</v>
      </c>
      <c r="Y645" s="36" t="s">
        <v>134</v>
      </c>
      <c r="Z645" s="53" t="n">
        <f aca="false">Z649+Z653+Z656</f>
        <v>7.69136</v>
      </c>
    </row>
    <row r="646" customFormat="false" ht="15" hidden="false" customHeight="false" outlineLevel="0" collapsed="false">
      <c r="Q646" s="14" t="s">
        <v>284</v>
      </c>
      <c r="R646" s="14" t="s">
        <v>285</v>
      </c>
      <c r="V646" s="36" t="s">
        <v>123</v>
      </c>
      <c r="W646" s="36" t="s">
        <v>286</v>
      </c>
      <c r="X646" s="36" t="s">
        <v>287</v>
      </c>
      <c r="Y646" s="36" t="s">
        <v>288</v>
      </c>
      <c r="Z646" s="36" t="s">
        <v>289</v>
      </c>
    </row>
    <row r="647" customFormat="false" ht="15" hidden="false" customHeight="false" outlineLevel="0" collapsed="false">
      <c r="R647" s="54" t="s">
        <v>290</v>
      </c>
    </row>
    <row r="648" customFormat="false" ht="15" hidden="false" customHeight="false" outlineLevel="0" collapsed="false">
      <c r="R648" s="1" t="s">
        <v>294</v>
      </c>
      <c r="V648" s="55" t="s">
        <v>292</v>
      </c>
      <c r="W648" s="56" t="n">
        <v>2</v>
      </c>
      <c r="X648" s="57" t="n">
        <f aca="false">W648*8/$T$645</f>
        <v>0.32</v>
      </c>
      <c r="Y648" s="28" t="n">
        <v>20.51</v>
      </c>
      <c r="Z648" s="28" t="n">
        <f aca="false">X648*Y648</f>
        <v>6.5632</v>
      </c>
    </row>
    <row r="649" customFormat="false" ht="15" hidden="false" customHeight="false" outlineLevel="0" collapsed="false">
      <c r="Z649" s="53" t="n">
        <f aca="false">SUM(Z648:Z648)</f>
        <v>6.5632</v>
      </c>
    </row>
    <row r="650" customFormat="false" ht="15" hidden="false" customHeight="false" outlineLevel="0" collapsed="false">
      <c r="R650" s="54" t="s">
        <v>295</v>
      </c>
    </row>
    <row r="651" customFormat="false" ht="15" hidden="false" customHeight="false" outlineLevel="0" collapsed="false">
      <c r="R651" s="1" t="s">
        <v>449</v>
      </c>
      <c r="V651" s="55" t="s">
        <v>297</v>
      </c>
      <c r="X651" s="57" t="n">
        <v>0.5</v>
      </c>
      <c r="Y651" s="1" t="n">
        <v>0.38</v>
      </c>
      <c r="Z651" s="28" t="n">
        <f aca="false">X651*Y651</f>
        <v>0.19</v>
      </c>
    </row>
    <row r="652" customFormat="false" ht="15" hidden="false" customHeight="false" outlineLevel="0" collapsed="false">
      <c r="R652" s="1" t="s">
        <v>450</v>
      </c>
      <c r="V652" s="55" t="s">
        <v>297</v>
      </c>
      <c r="W652" s="56"/>
      <c r="X652" s="57" t="n">
        <v>0.5</v>
      </c>
      <c r="Y652" s="1" t="n">
        <v>1.22</v>
      </c>
      <c r="Z652" s="28" t="n">
        <f aca="false">X652*Y652</f>
        <v>0.61</v>
      </c>
    </row>
    <row r="653" customFormat="false" ht="15" hidden="false" customHeight="false" outlineLevel="0" collapsed="false">
      <c r="V653" s="55"/>
      <c r="X653" s="57"/>
      <c r="Y653" s="28"/>
      <c r="Z653" s="53" t="n">
        <f aca="false">SUM(Z651:Z652)</f>
        <v>0.8</v>
      </c>
    </row>
    <row r="654" customFormat="false" ht="15" hidden="false" customHeight="false" outlineLevel="0" collapsed="false">
      <c r="R654" s="54" t="s">
        <v>310</v>
      </c>
    </row>
    <row r="655" customFormat="false" ht="15" hidden="false" customHeight="false" outlineLevel="0" collapsed="false">
      <c r="R655" s="1" t="s">
        <v>311</v>
      </c>
      <c r="V655" s="55" t="s">
        <v>312</v>
      </c>
      <c r="X655" s="57" t="n">
        <v>5</v>
      </c>
      <c r="Y655" s="28" t="n">
        <f aca="false">Z649</f>
        <v>6.5632</v>
      </c>
      <c r="Z655" s="28" t="n">
        <f aca="false">X655%*Y655</f>
        <v>0.32816</v>
      </c>
    </row>
    <row r="656" customFormat="false" ht="15" hidden="false" customHeight="false" outlineLevel="0" collapsed="false">
      <c r="Q656" s="60"/>
      <c r="R656" s="60"/>
      <c r="S656" s="60"/>
      <c r="T656" s="60"/>
      <c r="U656" s="60"/>
      <c r="V656" s="60"/>
      <c r="W656" s="60"/>
      <c r="X656" s="60"/>
      <c r="Y656" s="60"/>
      <c r="Z656" s="61" t="n">
        <f aca="false">SUM(Z655)</f>
        <v>0.32816</v>
      </c>
    </row>
    <row r="657" customFormat="false" ht="15" hidden="false" customHeight="false" outlineLevel="0" collapsed="false">
      <c r="V657" s="55"/>
      <c r="W657" s="56"/>
      <c r="X657" s="57"/>
      <c r="Y657" s="28"/>
      <c r="Z657" s="28"/>
    </row>
    <row r="658" customFormat="false" ht="15" hidden="false" customHeight="false" outlineLevel="0" collapsed="false">
      <c r="Q658" s="14" t="s">
        <v>278</v>
      </c>
      <c r="R658" s="14"/>
      <c r="S658" s="14" t="s">
        <v>451</v>
      </c>
      <c r="T658" s="14"/>
      <c r="U658" s="14"/>
      <c r="V658" s="14"/>
      <c r="W658" s="14"/>
      <c r="X658" s="14"/>
      <c r="Y658" s="14"/>
    </row>
    <row r="659" customFormat="false" ht="15" hidden="false" customHeight="false" outlineLevel="0" collapsed="false">
      <c r="Q659" s="14" t="s">
        <v>279</v>
      </c>
      <c r="R659" s="14" t="s">
        <v>280</v>
      </c>
      <c r="S659" s="36" t="s">
        <v>281</v>
      </c>
      <c r="T659" s="52" t="n">
        <v>100</v>
      </c>
      <c r="U659" s="36" t="s">
        <v>282</v>
      </c>
      <c r="V659" s="52" t="n">
        <f aca="false">T659</f>
        <v>100</v>
      </c>
      <c r="W659" s="14" t="s">
        <v>283</v>
      </c>
      <c r="Y659" s="36" t="s">
        <v>134</v>
      </c>
      <c r="Z659" s="53" t="n">
        <f aca="false">Z664+Z667+Z671</f>
        <v>8.03264</v>
      </c>
    </row>
    <row r="660" customFormat="false" ht="14.25" hidden="false" customHeight="true" outlineLevel="0" collapsed="false">
      <c r="Q660" s="14" t="s">
        <v>284</v>
      </c>
      <c r="R660" s="14" t="s">
        <v>285</v>
      </c>
      <c r="V660" s="36" t="s">
        <v>123</v>
      </c>
      <c r="W660" s="36" t="s">
        <v>286</v>
      </c>
      <c r="X660" s="36" t="s">
        <v>287</v>
      </c>
      <c r="Y660" s="36" t="s">
        <v>288</v>
      </c>
      <c r="Z660" s="36" t="s">
        <v>289</v>
      </c>
    </row>
    <row r="661" customFormat="false" ht="15" hidden="false" customHeight="false" outlineLevel="0" collapsed="false">
      <c r="R661" s="54" t="s">
        <v>290</v>
      </c>
    </row>
    <row r="662" customFormat="false" ht="15" hidden="false" customHeight="false" outlineLevel="0" collapsed="false">
      <c r="R662" s="1" t="s">
        <v>405</v>
      </c>
      <c r="V662" s="55" t="s">
        <v>292</v>
      </c>
      <c r="W662" s="56" t="n">
        <v>1</v>
      </c>
      <c r="X662" s="57" t="n">
        <f aca="false">W662*8/$T$659</f>
        <v>0.08</v>
      </c>
      <c r="Y662" s="28" t="n">
        <v>28.94</v>
      </c>
      <c r="Z662" s="28" t="n">
        <f aca="false">X662*Y662</f>
        <v>2.3152</v>
      </c>
    </row>
    <row r="663" customFormat="false" ht="15" hidden="false" customHeight="false" outlineLevel="0" collapsed="false">
      <c r="R663" s="1" t="s">
        <v>294</v>
      </c>
      <c r="V663" s="55" t="s">
        <v>292</v>
      </c>
      <c r="W663" s="56" t="n">
        <v>2</v>
      </c>
      <c r="X663" s="57" t="n">
        <f aca="false">W663*8/$T$659</f>
        <v>0.16</v>
      </c>
      <c r="Y663" s="28" t="n">
        <v>20.51</v>
      </c>
      <c r="Z663" s="28" t="n">
        <f aca="false">X663*Y663</f>
        <v>3.2816</v>
      </c>
    </row>
    <row r="664" customFormat="false" ht="15" hidden="false" customHeight="false" outlineLevel="0" collapsed="false">
      <c r="Z664" s="53" t="n">
        <f aca="false">SUM(Z662:Z663)</f>
        <v>5.5968</v>
      </c>
    </row>
    <row r="665" customFormat="false" ht="15" hidden="false" customHeight="false" outlineLevel="0" collapsed="false">
      <c r="R665" s="54" t="s">
        <v>295</v>
      </c>
    </row>
    <row r="666" customFormat="false" ht="15" hidden="false" customHeight="false" outlineLevel="0" collapsed="false">
      <c r="R666" s="1" t="s">
        <v>452</v>
      </c>
      <c r="V666" s="55" t="s">
        <v>440</v>
      </c>
      <c r="X666" s="57" t="n">
        <v>0.08</v>
      </c>
      <c r="Y666" s="1" t="n">
        <v>14.24</v>
      </c>
      <c r="Z666" s="28" t="n">
        <f aca="false">X666*Y666</f>
        <v>1.1392</v>
      </c>
    </row>
    <row r="667" customFormat="false" ht="15" hidden="false" customHeight="false" outlineLevel="0" collapsed="false">
      <c r="V667" s="55"/>
      <c r="X667" s="57"/>
      <c r="Y667" s="28"/>
      <c r="Z667" s="53" t="n">
        <f aca="false">SUM(Z666:Z666)</f>
        <v>1.1392</v>
      </c>
    </row>
    <row r="668" customFormat="false" ht="15" hidden="false" customHeight="false" outlineLevel="0" collapsed="false">
      <c r="R668" s="54" t="s">
        <v>310</v>
      </c>
    </row>
    <row r="669" customFormat="false" ht="15" hidden="false" customHeight="false" outlineLevel="0" collapsed="false">
      <c r="R669" s="1" t="s">
        <v>311</v>
      </c>
      <c r="V669" s="55" t="s">
        <v>312</v>
      </c>
      <c r="X669" s="57" t="n">
        <v>5</v>
      </c>
      <c r="Y669" s="28" t="n">
        <f aca="false">Z664</f>
        <v>5.5968</v>
      </c>
      <c r="Z669" s="28" t="n">
        <f aca="false">X669%*Y669</f>
        <v>0.27984</v>
      </c>
    </row>
    <row r="670" customFormat="false" ht="15" hidden="false" customHeight="false" outlineLevel="0" collapsed="false">
      <c r="R670" s="1" t="s">
        <v>453</v>
      </c>
      <c r="V670" s="55" t="s">
        <v>338</v>
      </c>
      <c r="W670" s="56" t="n">
        <v>1</v>
      </c>
      <c r="X670" s="57" t="n">
        <f aca="false">W670*8/$T$659</f>
        <v>0.08</v>
      </c>
      <c r="Y670" s="28" t="n">
        <v>12.71</v>
      </c>
      <c r="Z670" s="28" t="n">
        <f aca="false">X670*Y670</f>
        <v>1.0168</v>
      </c>
    </row>
    <row r="671" customFormat="false" ht="15" hidden="false" customHeight="false" outlineLevel="0" collapsed="false">
      <c r="Q671" s="60"/>
      <c r="R671" s="60"/>
      <c r="S671" s="60"/>
      <c r="T671" s="60"/>
      <c r="U671" s="60"/>
      <c r="V671" s="60"/>
      <c r="W671" s="60"/>
      <c r="X671" s="60"/>
      <c r="Y671" s="60"/>
      <c r="Z671" s="61" t="n">
        <f aca="false">SUM(Z669:Z670)</f>
        <v>1.29664</v>
      </c>
    </row>
    <row r="673" customFormat="false" ht="15" hidden="false" customHeight="false" outlineLevel="0" collapsed="false">
      <c r="Q673" s="14" t="s">
        <v>334</v>
      </c>
      <c r="R673" s="14"/>
      <c r="S673" s="14" t="s">
        <v>1267</v>
      </c>
      <c r="T673" s="14"/>
      <c r="U673" s="14"/>
      <c r="V673" s="14"/>
      <c r="W673" s="14"/>
      <c r="X673" s="14"/>
      <c r="Y673" s="14"/>
    </row>
    <row r="674" customFormat="false" ht="15" hidden="false" customHeight="false" outlineLevel="0" collapsed="false">
      <c r="Q674" s="14" t="s">
        <v>279</v>
      </c>
      <c r="R674" s="14" t="s">
        <v>280</v>
      </c>
      <c r="S674" s="36" t="s">
        <v>281</v>
      </c>
      <c r="T674" s="52" t="n">
        <v>90</v>
      </c>
      <c r="U674" s="36" t="s">
        <v>282</v>
      </c>
      <c r="V674" s="52" t="n">
        <f aca="false">T674</f>
        <v>90</v>
      </c>
      <c r="W674" s="14" t="s">
        <v>283</v>
      </c>
      <c r="Y674" s="36" t="s">
        <v>134</v>
      </c>
      <c r="Z674" s="53" t="n">
        <f aca="false">Z679+Z682</f>
        <v>4.61533333333333</v>
      </c>
    </row>
    <row r="675" customFormat="false" ht="15" hidden="false" customHeight="false" outlineLevel="0" collapsed="false">
      <c r="Q675" s="14" t="s">
        <v>284</v>
      </c>
      <c r="R675" s="14" t="s">
        <v>285</v>
      </c>
      <c r="V675" s="36" t="s">
        <v>123</v>
      </c>
      <c r="W675" s="36" t="s">
        <v>286</v>
      </c>
      <c r="X675" s="36" t="s">
        <v>287</v>
      </c>
      <c r="Y675" s="36" t="s">
        <v>288</v>
      </c>
      <c r="Z675" s="36" t="s">
        <v>289</v>
      </c>
    </row>
    <row r="676" customFormat="false" ht="15" hidden="false" customHeight="false" outlineLevel="0" collapsed="false">
      <c r="R676" s="54" t="s">
        <v>290</v>
      </c>
    </row>
    <row r="677" customFormat="false" ht="15" hidden="false" customHeight="false" outlineLevel="0" collapsed="false">
      <c r="R677" s="1" t="s">
        <v>291</v>
      </c>
      <c r="V677" s="55" t="s">
        <v>292</v>
      </c>
      <c r="W677" s="56" t="n">
        <v>1</v>
      </c>
      <c r="X677" s="57" t="n">
        <f aca="false">W677*8/$T$674</f>
        <v>0.0888888888888889</v>
      </c>
      <c r="Y677" s="28" t="n">
        <v>28.94</v>
      </c>
      <c r="Z677" s="28" t="n">
        <f aca="false">X677*Y677</f>
        <v>2.57244444444444</v>
      </c>
    </row>
    <row r="678" customFormat="false" ht="15" hidden="false" customHeight="false" outlineLevel="0" collapsed="false">
      <c r="R678" s="1" t="s">
        <v>294</v>
      </c>
      <c r="V678" s="55" t="s">
        <v>292</v>
      </c>
      <c r="W678" s="56" t="n">
        <v>1</v>
      </c>
      <c r="X678" s="57" t="n">
        <f aca="false">W678*8/$T$674</f>
        <v>0.0888888888888889</v>
      </c>
      <c r="Y678" s="28" t="n">
        <v>20.51</v>
      </c>
      <c r="Z678" s="28" t="n">
        <f aca="false">X678*Y678</f>
        <v>1.82311111111111</v>
      </c>
    </row>
    <row r="679" customFormat="false" ht="15" hidden="false" customHeight="false" outlineLevel="0" collapsed="false">
      <c r="Z679" s="53" t="n">
        <f aca="false">SUM(Z677:Z678)</f>
        <v>4.39555555555556</v>
      </c>
    </row>
    <row r="680" customFormat="false" ht="15" hidden="false" customHeight="false" outlineLevel="0" collapsed="false">
      <c r="R680" s="54" t="s">
        <v>318</v>
      </c>
    </row>
    <row r="681" customFormat="false" ht="15" hidden="false" customHeight="false" outlineLevel="0" collapsed="false">
      <c r="R681" s="1" t="s">
        <v>311</v>
      </c>
      <c r="V681" s="55" t="s">
        <v>312</v>
      </c>
      <c r="X681" s="57" t="n">
        <v>5</v>
      </c>
      <c r="Y681" s="28" t="n">
        <f aca="false">Z679</f>
        <v>4.39555555555556</v>
      </c>
      <c r="Z681" s="28" t="n">
        <f aca="false">X681%*Y681</f>
        <v>0.219777777777778</v>
      </c>
    </row>
    <row r="682" customFormat="false" ht="15" hidden="false" customHeight="false" outlineLevel="0" collapsed="false">
      <c r="Q682" s="60"/>
      <c r="R682" s="60"/>
      <c r="S682" s="60"/>
      <c r="T682" s="60"/>
      <c r="U682" s="60"/>
      <c r="V682" s="60"/>
      <c r="W682" s="60"/>
      <c r="X682" s="60"/>
      <c r="Y682" s="60"/>
      <c r="Z682" s="61" t="n">
        <f aca="false">SUM(Z681:Z681)</f>
        <v>0.219777777777778</v>
      </c>
    </row>
    <row r="684" customFormat="false" ht="15" hidden="false" customHeight="false" outlineLevel="0" collapsed="false">
      <c r="Q684" s="14" t="s">
        <v>334</v>
      </c>
      <c r="R684" s="14"/>
      <c r="S684" s="14" t="s">
        <v>1268</v>
      </c>
      <c r="T684" s="14"/>
      <c r="U684" s="14"/>
      <c r="V684" s="14"/>
      <c r="W684" s="14"/>
      <c r="X684" s="14"/>
      <c r="Y684" s="14"/>
    </row>
    <row r="685" customFormat="false" ht="15" hidden="false" customHeight="false" outlineLevel="0" collapsed="false">
      <c r="Q685" s="14" t="s">
        <v>279</v>
      </c>
      <c r="R685" s="14" t="s">
        <v>280</v>
      </c>
      <c r="S685" s="36" t="s">
        <v>281</v>
      </c>
      <c r="T685" s="52" t="n">
        <v>90</v>
      </c>
      <c r="U685" s="36" t="s">
        <v>282</v>
      </c>
      <c r="V685" s="52" t="n">
        <f aca="false">T685</f>
        <v>90</v>
      </c>
      <c r="W685" s="14" t="s">
        <v>283</v>
      </c>
      <c r="Y685" s="36" t="s">
        <v>134</v>
      </c>
      <c r="Z685" s="53" t="n">
        <f aca="false">Z690+Z693</f>
        <v>4.61533333333333</v>
      </c>
    </row>
    <row r="686" customFormat="false" ht="15" hidden="false" customHeight="false" outlineLevel="0" collapsed="false">
      <c r="Q686" s="14" t="s">
        <v>284</v>
      </c>
      <c r="R686" s="14" t="s">
        <v>285</v>
      </c>
      <c r="V686" s="36" t="s">
        <v>123</v>
      </c>
      <c r="W686" s="36" t="s">
        <v>286</v>
      </c>
      <c r="X686" s="36" t="s">
        <v>287</v>
      </c>
      <c r="Y686" s="36" t="s">
        <v>288</v>
      </c>
      <c r="Z686" s="36" t="s">
        <v>289</v>
      </c>
    </row>
    <row r="687" customFormat="false" ht="15" hidden="false" customHeight="false" outlineLevel="0" collapsed="false">
      <c r="R687" s="54" t="s">
        <v>290</v>
      </c>
    </row>
    <row r="688" customFormat="false" ht="15" hidden="false" customHeight="false" outlineLevel="0" collapsed="false">
      <c r="R688" s="1" t="s">
        <v>291</v>
      </c>
      <c r="V688" s="55" t="s">
        <v>292</v>
      </c>
      <c r="W688" s="56" t="n">
        <v>1</v>
      </c>
      <c r="X688" s="57" t="n">
        <f aca="false">W688*8/$T$685</f>
        <v>0.0888888888888889</v>
      </c>
      <c r="Y688" s="28" t="n">
        <v>28.94</v>
      </c>
      <c r="Z688" s="28" t="n">
        <f aca="false">X688*Y688</f>
        <v>2.57244444444444</v>
      </c>
    </row>
    <row r="689" customFormat="false" ht="15" hidden="false" customHeight="false" outlineLevel="0" collapsed="false">
      <c r="R689" s="1" t="s">
        <v>294</v>
      </c>
      <c r="V689" s="55" t="s">
        <v>292</v>
      </c>
      <c r="W689" s="56" t="n">
        <v>1</v>
      </c>
      <c r="X689" s="57" t="n">
        <f aca="false">W689*8/$T$685</f>
        <v>0.0888888888888889</v>
      </c>
      <c r="Y689" s="28" t="n">
        <v>20.51</v>
      </c>
      <c r="Z689" s="28" t="n">
        <f aca="false">X689*Y689</f>
        <v>1.82311111111111</v>
      </c>
    </row>
    <row r="690" customFormat="false" ht="15" hidden="false" customHeight="false" outlineLevel="0" collapsed="false">
      <c r="Z690" s="53" t="n">
        <f aca="false">SUM(Z688:Z689)</f>
        <v>4.39555555555556</v>
      </c>
    </row>
    <row r="691" customFormat="false" ht="15" hidden="false" customHeight="false" outlineLevel="0" collapsed="false">
      <c r="R691" s="54" t="s">
        <v>318</v>
      </c>
    </row>
    <row r="692" customFormat="false" ht="15" hidden="false" customHeight="false" outlineLevel="0" collapsed="false">
      <c r="R692" s="1" t="s">
        <v>311</v>
      </c>
      <c r="V692" s="55" t="s">
        <v>312</v>
      </c>
      <c r="X692" s="57" t="n">
        <v>5</v>
      </c>
      <c r="Y692" s="28" t="n">
        <f aca="false">Z690</f>
        <v>4.39555555555556</v>
      </c>
      <c r="Z692" s="28" t="n">
        <f aca="false">X692%*Y692</f>
        <v>0.219777777777778</v>
      </c>
    </row>
    <row r="693" customFormat="false" ht="15" hidden="false" customHeight="false" outlineLevel="0" collapsed="false">
      <c r="Q693" s="60"/>
      <c r="R693" s="60"/>
      <c r="S693" s="60"/>
      <c r="T693" s="60"/>
      <c r="U693" s="60"/>
      <c r="V693" s="60"/>
      <c r="W693" s="60"/>
      <c r="X693" s="60"/>
      <c r="Y693" s="60"/>
      <c r="Z693" s="61" t="n">
        <f aca="false">SUM(Z692:Z692)</f>
        <v>0.219777777777778</v>
      </c>
    </row>
    <row r="695" customFormat="false" ht="15" hidden="false" customHeight="false" outlineLevel="0" collapsed="false">
      <c r="Q695" s="14" t="s">
        <v>334</v>
      </c>
      <c r="R695" s="14"/>
      <c r="S695" s="14" t="s">
        <v>1269</v>
      </c>
      <c r="T695" s="14"/>
      <c r="U695" s="14"/>
      <c r="V695" s="14"/>
      <c r="W695" s="14"/>
      <c r="X695" s="14"/>
      <c r="Y695" s="14"/>
    </row>
    <row r="696" customFormat="false" ht="15" hidden="false" customHeight="false" outlineLevel="0" collapsed="false">
      <c r="Q696" s="14" t="s">
        <v>279</v>
      </c>
      <c r="R696" s="14" t="s">
        <v>280</v>
      </c>
      <c r="S696" s="36" t="s">
        <v>281</v>
      </c>
      <c r="T696" s="52" t="n">
        <v>70</v>
      </c>
      <c r="U696" s="36" t="s">
        <v>282</v>
      </c>
      <c r="V696" s="52" t="n">
        <f aca="false">T696</f>
        <v>70</v>
      </c>
      <c r="W696" s="14" t="s">
        <v>283</v>
      </c>
      <c r="Y696" s="36" t="s">
        <v>134</v>
      </c>
      <c r="Z696" s="53" t="n">
        <f aca="false">Z702+Z705</f>
        <v>7.4226</v>
      </c>
    </row>
    <row r="697" customFormat="false" ht="15" hidden="false" customHeight="false" outlineLevel="0" collapsed="false">
      <c r="Q697" s="14" t="s">
        <v>284</v>
      </c>
      <c r="R697" s="14" t="s">
        <v>285</v>
      </c>
      <c r="V697" s="36" t="s">
        <v>123</v>
      </c>
      <c r="W697" s="36" t="s">
        <v>286</v>
      </c>
      <c r="X697" s="36" t="s">
        <v>287</v>
      </c>
      <c r="Y697" s="36" t="s">
        <v>288</v>
      </c>
      <c r="Z697" s="36" t="s">
        <v>289</v>
      </c>
    </row>
    <row r="698" customFormat="false" ht="15" hidden="false" customHeight="false" outlineLevel="0" collapsed="false">
      <c r="R698" s="54" t="s">
        <v>290</v>
      </c>
    </row>
    <row r="699" customFormat="false" ht="15" hidden="false" customHeight="false" outlineLevel="0" collapsed="false">
      <c r="R699" s="1" t="s">
        <v>291</v>
      </c>
      <c r="V699" s="55" t="s">
        <v>292</v>
      </c>
      <c r="W699" s="56" t="n">
        <v>1</v>
      </c>
      <c r="X699" s="57" t="n">
        <f aca="false">W699*8/$T$696</f>
        <v>0.114285714285714</v>
      </c>
      <c r="Y699" s="28" t="n">
        <v>28.94</v>
      </c>
      <c r="Z699" s="28" t="n">
        <f aca="false">X699*Y699</f>
        <v>3.30742857142857</v>
      </c>
    </row>
    <row r="700" customFormat="false" ht="15" hidden="false" customHeight="false" outlineLevel="0" collapsed="false">
      <c r="R700" s="1" t="s">
        <v>293</v>
      </c>
      <c r="V700" s="55" t="s">
        <v>292</v>
      </c>
      <c r="W700" s="56" t="n">
        <v>1</v>
      </c>
      <c r="X700" s="57" t="n">
        <f aca="false">W700*8/$T$696</f>
        <v>0.114285714285714</v>
      </c>
      <c r="Y700" s="28" t="n">
        <v>22.66</v>
      </c>
      <c r="Z700" s="28" t="n">
        <f aca="false">X700*Y700</f>
        <v>2.58971428571429</v>
      </c>
    </row>
    <row r="701" customFormat="false" ht="15" hidden="false" customHeight="false" outlineLevel="0" collapsed="false">
      <c r="R701" s="1" t="s">
        <v>294</v>
      </c>
      <c r="V701" s="55" t="s">
        <v>292</v>
      </c>
      <c r="W701" s="56" t="n">
        <v>0.5</v>
      </c>
      <c r="X701" s="57" t="n">
        <f aca="false">W701*8/$T$696</f>
        <v>0.0571428571428571</v>
      </c>
      <c r="Y701" s="28" t="n">
        <v>20.51</v>
      </c>
      <c r="Z701" s="28" t="n">
        <f aca="false">X701*Y701</f>
        <v>1.172</v>
      </c>
    </row>
    <row r="702" customFormat="false" ht="15" hidden="false" customHeight="false" outlineLevel="0" collapsed="false">
      <c r="Z702" s="53" t="n">
        <f aca="false">SUM(Z699:Z701)</f>
        <v>7.06914285714286</v>
      </c>
    </row>
    <row r="703" customFormat="false" ht="15" hidden="false" customHeight="false" outlineLevel="0" collapsed="false">
      <c r="R703" s="54" t="s">
        <v>318</v>
      </c>
    </row>
    <row r="704" customFormat="false" ht="15" hidden="false" customHeight="false" outlineLevel="0" collapsed="false">
      <c r="R704" s="1" t="s">
        <v>311</v>
      </c>
      <c r="V704" s="55" t="s">
        <v>312</v>
      </c>
      <c r="X704" s="57" t="n">
        <v>5</v>
      </c>
      <c r="Y704" s="28" t="n">
        <f aca="false">Z702</f>
        <v>7.06914285714286</v>
      </c>
      <c r="Z704" s="28" t="n">
        <f aca="false">X704%*Y704</f>
        <v>0.353457142857143</v>
      </c>
    </row>
    <row r="705" customFormat="false" ht="15" hidden="false" customHeight="false" outlineLevel="0" collapsed="false">
      <c r="Q705" s="60"/>
      <c r="R705" s="60"/>
      <c r="S705" s="60"/>
      <c r="T705" s="60"/>
      <c r="U705" s="60"/>
      <c r="V705" s="60"/>
      <c r="W705" s="60"/>
      <c r="X705" s="60"/>
      <c r="Y705" s="60"/>
      <c r="Z705" s="61" t="n">
        <f aca="false">SUM(Z704:Z704)</f>
        <v>0.353457142857143</v>
      </c>
    </row>
    <row r="707" customFormat="false" ht="15" hidden="false" customHeight="false" outlineLevel="0" collapsed="false">
      <c r="Q707" s="14" t="s">
        <v>334</v>
      </c>
      <c r="R707" s="14"/>
      <c r="S707" s="14" t="s">
        <v>1270</v>
      </c>
      <c r="T707" s="14"/>
      <c r="U707" s="14"/>
      <c r="V707" s="14"/>
      <c r="W707" s="14"/>
      <c r="X707" s="14"/>
      <c r="Y707" s="14"/>
    </row>
    <row r="708" customFormat="false" ht="15" hidden="false" customHeight="false" outlineLevel="0" collapsed="false">
      <c r="Q708" s="14" t="s">
        <v>279</v>
      </c>
      <c r="R708" s="14" t="s">
        <v>280</v>
      </c>
      <c r="S708" s="36" t="s">
        <v>281</v>
      </c>
      <c r="T708" s="52" t="n">
        <v>65</v>
      </c>
      <c r="U708" s="36" t="s">
        <v>282</v>
      </c>
      <c r="V708" s="52" t="n">
        <f aca="false">T708</f>
        <v>65</v>
      </c>
      <c r="W708" s="14" t="s">
        <v>283</v>
      </c>
      <c r="Y708" s="36" t="s">
        <v>134</v>
      </c>
      <c r="Z708" s="53" t="n">
        <f aca="false">Z713+Z717</f>
        <v>9.54436923076923</v>
      </c>
    </row>
    <row r="709" customFormat="false" ht="15" hidden="false" customHeight="false" outlineLevel="0" collapsed="false">
      <c r="Q709" s="14" t="s">
        <v>284</v>
      </c>
      <c r="R709" s="14" t="s">
        <v>285</v>
      </c>
      <c r="V709" s="36" t="s">
        <v>123</v>
      </c>
      <c r="W709" s="36" t="s">
        <v>286</v>
      </c>
      <c r="X709" s="36" t="s">
        <v>287</v>
      </c>
      <c r="Y709" s="36" t="s">
        <v>288</v>
      </c>
      <c r="Z709" s="36" t="s">
        <v>289</v>
      </c>
    </row>
    <row r="710" customFormat="false" ht="15" hidden="false" customHeight="false" outlineLevel="0" collapsed="false">
      <c r="R710" s="54" t="s">
        <v>290</v>
      </c>
    </row>
    <row r="711" customFormat="false" ht="15" hidden="false" customHeight="false" outlineLevel="0" collapsed="false">
      <c r="R711" s="1" t="s">
        <v>291</v>
      </c>
      <c r="V711" s="55" t="s">
        <v>292</v>
      </c>
      <c r="W711" s="56" t="n">
        <v>1</v>
      </c>
      <c r="X711" s="57" t="n">
        <f aca="false">W711*8/$T$708</f>
        <v>0.123076923076923</v>
      </c>
      <c r="Y711" s="28" t="n">
        <v>28.94</v>
      </c>
      <c r="Z711" s="28" t="n">
        <f aca="false">X711*Y711</f>
        <v>3.56184615384615</v>
      </c>
    </row>
    <row r="712" customFormat="false" ht="15" hidden="false" customHeight="false" outlineLevel="0" collapsed="false">
      <c r="R712" s="1" t="s">
        <v>294</v>
      </c>
      <c r="V712" s="55" t="s">
        <v>292</v>
      </c>
      <c r="W712" s="56" t="n">
        <v>2</v>
      </c>
      <c r="X712" s="57" t="n">
        <f aca="false">W712*8/$T$708</f>
        <v>0.246153846153846</v>
      </c>
      <c r="Y712" s="28" t="n">
        <v>20.51</v>
      </c>
      <c r="Z712" s="28" t="n">
        <f aca="false">X712*Y712</f>
        <v>5.04861538461539</v>
      </c>
    </row>
    <row r="713" customFormat="false" ht="15" hidden="false" customHeight="false" outlineLevel="0" collapsed="false">
      <c r="Z713" s="53" t="n">
        <f aca="false">SUM(Z711:Z712)</f>
        <v>8.61046153846154</v>
      </c>
    </row>
    <row r="714" customFormat="false" ht="15" hidden="false" customHeight="false" outlineLevel="0" collapsed="false">
      <c r="R714" s="54" t="s">
        <v>318</v>
      </c>
    </row>
    <row r="715" customFormat="false" ht="15" hidden="false" customHeight="false" outlineLevel="0" collapsed="false">
      <c r="R715" s="1" t="s">
        <v>311</v>
      </c>
      <c r="V715" s="55" t="s">
        <v>312</v>
      </c>
      <c r="X715" s="57" t="n">
        <v>5</v>
      </c>
      <c r="Y715" s="28" t="n">
        <f aca="false">Z713</f>
        <v>8.61046153846154</v>
      </c>
      <c r="Z715" s="28" t="n">
        <f aca="false">X715%*Y715</f>
        <v>0.430523076923077</v>
      </c>
    </row>
    <row r="716" customFormat="false" ht="15" hidden="false" customHeight="false" outlineLevel="0" collapsed="false">
      <c r="R716" s="1" t="s">
        <v>1271</v>
      </c>
      <c r="V716" s="55" t="s">
        <v>338</v>
      </c>
      <c r="W716" s="56" t="n">
        <v>1</v>
      </c>
      <c r="X716" s="57" t="n">
        <f aca="false">W716*8/$T$708</f>
        <v>0.123076923076923</v>
      </c>
      <c r="Y716" s="28" t="n">
        <v>4.09</v>
      </c>
      <c r="Z716" s="28" t="n">
        <f aca="false">X716*Y716</f>
        <v>0.503384615384615</v>
      </c>
    </row>
    <row r="717" customFormat="false" ht="15" hidden="false" customHeight="false" outlineLevel="0" collapsed="false">
      <c r="Q717" s="60"/>
      <c r="R717" s="60"/>
      <c r="S717" s="60"/>
      <c r="T717" s="60"/>
      <c r="U717" s="60"/>
      <c r="V717" s="60"/>
      <c r="W717" s="60"/>
      <c r="X717" s="60"/>
      <c r="Y717" s="60"/>
      <c r="Z717" s="61" t="n">
        <f aca="false">SUM(Z715:Z716)</f>
        <v>0.933907692307692</v>
      </c>
    </row>
    <row r="719" customFormat="false" ht="15" hidden="false" customHeight="false" outlineLevel="0" collapsed="false">
      <c r="Q719" s="14" t="s">
        <v>334</v>
      </c>
      <c r="R719" s="14"/>
      <c r="S719" s="14" t="s">
        <v>1272</v>
      </c>
      <c r="T719" s="14"/>
      <c r="U719" s="14"/>
      <c r="V719" s="14"/>
      <c r="W719" s="14"/>
      <c r="X719" s="14"/>
      <c r="Y719" s="14"/>
    </row>
    <row r="720" customFormat="false" ht="15" hidden="false" customHeight="false" outlineLevel="0" collapsed="false">
      <c r="Q720" s="14" t="s">
        <v>279</v>
      </c>
      <c r="R720" s="14" t="s">
        <v>326</v>
      </c>
      <c r="S720" s="36" t="s">
        <v>281</v>
      </c>
      <c r="T720" s="52" t="n">
        <v>15</v>
      </c>
      <c r="U720" s="36" t="s">
        <v>282</v>
      </c>
      <c r="V720" s="52" t="n">
        <f aca="false">T720</f>
        <v>15</v>
      </c>
      <c r="W720" s="14" t="s">
        <v>283</v>
      </c>
      <c r="Y720" s="36" t="s">
        <v>150</v>
      </c>
      <c r="Z720" s="53" t="n">
        <f aca="false">Z725+Z728</f>
        <v>27.692</v>
      </c>
    </row>
    <row r="721" customFormat="false" ht="15" hidden="false" customHeight="false" outlineLevel="0" collapsed="false">
      <c r="Q721" s="14" t="s">
        <v>284</v>
      </c>
      <c r="R721" s="14" t="s">
        <v>285</v>
      </c>
      <c r="V721" s="36" t="s">
        <v>123</v>
      </c>
      <c r="W721" s="36" t="s">
        <v>286</v>
      </c>
      <c r="X721" s="36" t="s">
        <v>287</v>
      </c>
      <c r="Y721" s="36" t="s">
        <v>288</v>
      </c>
      <c r="Z721" s="36" t="s">
        <v>289</v>
      </c>
    </row>
    <row r="722" customFormat="false" ht="15" hidden="false" customHeight="false" outlineLevel="0" collapsed="false">
      <c r="R722" s="54" t="s">
        <v>290</v>
      </c>
    </row>
    <row r="723" customFormat="false" ht="15" hidden="false" customHeight="false" outlineLevel="0" collapsed="false">
      <c r="R723" s="1" t="s">
        <v>291</v>
      </c>
      <c r="V723" s="55" t="s">
        <v>292</v>
      </c>
      <c r="W723" s="56" t="n">
        <v>1</v>
      </c>
      <c r="X723" s="57" t="n">
        <f aca="false">W723*8/$T$720</f>
        <v>0.533333333333333</v>
      </c>
      <c r="Y723" s="28" t="n">
        <v>28.94</v>
      </c>
      <c r="Z723" s="28" t="n">
        <f aca="false">X723*Y723</f>
        <v>15.4346666666667</v>
      </c>
    </row>
    <row r="724" customFormat="false" ht="15" hidden="false" customHeight="false" outlineLevel="0" collapsed="false">
      <c r="R724" s="1" t="s">
        <v>294</v>
      </c>
      <c r="V724" s="55" t="s">
        <v>292</v>
      </c>
      <c r="W724" s="56" t="n">
        <v>1</v>
      </c>
      <c r="X724" s="57" t="n">
        <f aca="false">W724*8/$T$720</f>
        <v>0.533333333333333</v>
      </c>
      <c r="Y724" s="28" t="n">
        <v>20.51</v>
      </c>
      <c r="Z724" s="28" t="n">
        <f aca="false">X724*Y724</f>
        <v>10.9386666666667</v>
      </c>
    </row>
    <row r="725" customFormat="false" ht="15" hidden="false" customHeight="false" outlineLevel="0" collapsed="false">
      <c r="Z725" s="53" t="n">
        <f aca="false">SUM(Z723:Z724)</f>
        <v>26.3733333333333</v>
      </c>
    </row>
    <row r="726" customFormat="false" ht="15" hidden="false" customHeight="false" outlineLevel="0" collapsed="false">
      <c r="R726" s="54" t="s">
        <v>318</v>
      </c>
    </row>
    <row r="727" customFormat="false" ht="15" hidden="false" customHeight="false" outlineLevel="0" collapsed="false">
      <c r="R727" s="1" t="s">
        <v>311</v>
      </c>
      <c r="V727" s="55" t="s">
        <v>312</v>
      </c>
      <c r="X727" s="57" t="n">
        <v>5</v>
      </c>
      <c r="Y727" s="28" t="n">
        <f aca="false">Z725</f>
        <v>26.3733333333333</v>
      </c>
      <c r="Z727" s="28" t="n">
        <f aca="false">X727%*Y727</f>
        <v>1.31866666666667</v>
      </c>
    </row>
    <row r="728" customFormat="false" ht="15" hidden="false" customHeight="false" outlineLevel="0" collapsed="false">
      <c r="Q728" s="60"/>
      <c r="R728" s="60"/>
      <c r="S728" s="60"/>
      <c r="T728" s="60"/>
      <c r="U728" s="60"/>
      <c r="V728" s="60"/>
      <c r="W728" s="60"/>
      <c r="X728" s="60"/>
      <c r="Y728" s="60"/>
      <c r="Z728" s="61" t="n">
        <f aca="false">SUM(Z727:Z727)</f>
        <v>1.31866666666667</v>
      </c>
    </row>
    <row r="730" customFormat="false" ht="15" hidden="false" customHeight="false" outlineLevel="0" collapsed="false">
      <c r="Q730" s="14" t="s">
        <v>334</v>
      </c>
      <c r="R730" s="14"/>
      <c r="S730" s="14" t="s">
        <v>1273</v>
      </c>
      <c r="T730" s="14"/>
      <c r="U730" s="14"/>
      <c r="V730" s="14"/>
      <c r="W730" s="14"/>
      <c r="X730" s="14"/>
      <c r="Y730" s="14"/>
    </row>
    <row r="731" customFormat="false" ht="15" hidden="false" customHeight="false" outlineLevel="0" collapsed="false">
      <c r="Q731" s="14" t="s">
        <v>279</v>
      </c>
      <c r="R731" s="14" t="s">
        <v>326</v>
      </c>
      <c r="S731" s="36" t="s">
        <v>281</v>
      </c>
      <c r="T731" s="52" t="n">
        <v>15</v>
      </c>
      <c r="U731" s="36" t="s">
        <v>282</v>
      </c>
      <c r="V731" s="52" t="n">
        <f aca="false">T731</f>
        <v>15</v>
      </c>
      <c r="W731" s="14" t="s">
        <v>283</v>
      </c>
      <c r="Y731" s="36" t="s">
        <v>150</v>
      </c>
      <c r="Z731" s="53" t="n">
        <f aca="false">Z736+Z739</f>
        <v>27.692</v>
      </c>
    </row>
    <row r="732" customFormat="false" ht="15" hidden="false" customHeight="false" outlineLevel="0" collapsed="false">
      <c r="Q732" s="14" t="s">
        <v>284</v>
      </c>
      <c r="R732" s="14" t="s">
        <v>285</v>
      </c>
      <c r="V732" s="36" t="s">
        <v>123</v>
      </c>
      <c r="W732" s="36" t="s">
        <v>286</v>
      </c>
      <c r="X732" s="36" t="s">
        <v>287</v>
      </c>
      <c r="Y732" s="36" t="s">
        <v>288</v>
      </c>
      <c r="Z732" s="36" t="s">
        <v>289</v>
      </c>
    </row>
    <row r="733" customFormat="false" ht="15" hidden="false" customHeight="false" outlineLevel="0" collapsed="false">
      <c r="R733" s="54" t="s">
        <v>290</v>
      </c>
    </row>
    <row r="734" customFormat="false" ht="15" hidden="false" customHeight="false" outlineLevel="0" collapsed="false">
      <c r="R734" s="1" t="s">
        <v>291</v>
      </c>
      <c r="V734" s="55" t="s">
        <v>292</v>
      </c>
      <c r="W734" s="56" t="n">
        <v>1</v>
      </c>
      <c r="X734" s="57" t="n">
        <f aca="false">W734*8/$T$731</f>
        <v>0.533333333333333</v>
      </c>
      <c r="Y734" s="28" t="n">
        <v>28.94</v>
      </c>
      <c r="Z734" s="28" t="n">
        <f aca="false">X734*Y734</f>
        <v>15.4346666666667</v>
      </c>
    </row>
    <row r="735" customFormat="false" ht="15" hidden="false" customHeight="false" outlineLevel="0" collapsed="false">
      <c r="R735" s="1" t="s">
        <v>294</v>
      </c>
      <c r="V735" s="55" t="s">
        <v>292</v>
      </c>
      <c r="W735" s="56" t="n">
        <v>1</v>
      </c>
      <c r="X735" s="57" t="n">
        <f aca="false">W735*8/$T$731</f>
        <v>0.533333333333333</v>
      </c>
      <c r="Y735" s="28" t="n">
        <v>20.51</v>
      </c>
      <c r="Z735" s="28" t="n">
        <f aca="false">X735*Y735</f>
        <v>10.9386666666667</v>
      </c>
    </row>
    <row r="736" customFormat="false" ht="15" hidden="false" customHeight="false" outlineLevel="0" collapsed="false">
      <c r="Z736" s="53" t="n">
        <f aca="false">SUM(Z734:Z735)</f>
        <v>26.3733333333333</v>
      </c>
    </row>
    <row r="737" customFormat="false" ht="15" hidden="false" customHeight="false" outlineLevel="0" collapsed="false">
      <c r="R737" s="54" t="s">
        <v>318</v>
      </c>
    </row>
    <row r="738" customFormat="false" ht="15" hidden="false" customHeight="false" outlineLevel="0" collapsed="false">
      <c r="R738" s="1" t="s">
        <v>311</v>
      </c>
      <c r="V738" s="55" t="s">
        <v>312</v>
      </c>
      <c r="X738" s="57" t="n">
        <v>5</v>
      </c>
      <c r="Y738" s="28" t="n">
        <f aca="false">Z736</f>
        <v>26.3733333333333</v>
      </c>
      <c r="Z738" s="28" t="n">
        <f aca="false">X738%*Y738</f>
        <v>1.31866666666667</v>
      </c>
    </row>
    <row r="739" customFormat="false" ht="15" hidden="false" customHeight="false" outlineLevel="0" collapsed="false">
      <c r="Q739" s="60"/>
      <c r="R739" s="60"/>
      <c r="S739" s="60"/>
      <c r="T739" s="60"/>
      <c r="U739" s="60"/>
      <c r="V739" s="60"/>
      <c r="W739" s="60"/>
      <c r="X739" s="60"/>
      <c r="Y739" s="60"/>
      <c r="Z739" s="61" t="n">
        <f aca="false">SUM(Z738:Z738)</f>
        <v>1.31866666666667</v>
      </c>
    </row>
    <row r="741" customFormat="false" ht="15" hidden="false" customHeight="false" outlineLevel="0" collapsed="false">
      <c r="Q741" s="14" t="s">
        <v>334</v>
      </c>
      <c r="R741" s="14"/>
      <c r="S741" s="14" t="s">
        <v>1274</v>
      </c>
      <c r="T741" s="14"/>
      <c r="U741" s="14"/>
      <c r="V741" s="14"/>
      <c r="W741" s="14"/>
      <c r="X741" s="14"/>
      <c r="Y741" s="14"/>
    </row>
    <row r="742" customFormat="false" ht="15" hidden="false" customHeight="false" outlineLevel="0" collapsed="false">
      <c r="Q742" s="14" t="s">
        <v>279</v>
      </c>
      <c r="R742" s="14" t="s">
        <v>280</v>
      </c>
      <c r="S742" s="36" t="s">
        <v>281</v>
      </c>
      <c r="T742" s="52" t="n">
        <v>90</v>
      </c>
      <c r="U742" s="36" t="s">
        <v>282</v>
      </c>
      <c r="V742" s="52" t="n">
        <f aca="false">T742</f>
        <v>90</v>
      </c>
      <c r="W742" s="14" t="s">
        <v>283</v>
      </c>
      <c r="Y742" s="36" t="s">
        <v>134</v>
      </c>
      <c r="Z742" s="53" t="n">
        <f aca="false">Z747+Z751</f>
        <v>4.97888888888889</v>
      </c>
    </row>
    <row r="743" customFormat="false" ht="15" hidden="false" customHeight="false" outlineLevel="0" collapsed="false">
      <c r="Q743" s="14" t="s">
        <v>284</v>
      </c>
      <c r="R743" s="14" t="s">
        <v>285</v>
      </c>
      <c r="V743" s="36" t="s">
        <v>123</v>
      </c>
      <c r="W743" s="36" t="s">
        <v>286</v>
      </c>
      <c r="X743" s="36" t="s">
        <v>287</v>
      </c>
      <c r="Y743" s="36" t="s">
        <v>288</v>
      </c>
      <c r="Z743" s="36" t="s">
        <v>289</v>
      </c>
    </row>
    <row r="744" customFormat="false" ht="15" hidden="false" customHeight="false" outlineLevel="0" collapsed="false">
      <c r="R744" s="54" t="s">
        <v>290</v>
      </c>
    </row>
    <row r="745" customFormat="false" ht="15" hidden="false" customHeight="false" outlineLevel="0" collapsed="false">
      <c r="R745" s="1" t="s">
        <v>291</v>
      </c>
      <c r="V745" s="55" t="s">
        <v>292</v>
      </c>
      <c r="W745" s="56" t="n">
        <v>1</v>
      </c>
      <c r="X745" s="57" t="n">
        <f aca="false">W745*8/$T$742</f>
        <v>0.0888888888888889</v>
      </c>
      <c r="Y745" s="28" t="n">
        <v>28.94</v>
      </c>
      <c r="Z745" s="28" t="n">
        <f aca="false">X745*Y745</f>
        <v>2.57244444444444</v>
      </c>
    </row>
    <row r="746" customFormat="false" ht="15" hidden="false" customHeight="false" outlineLevel="0" collapsed="false">
      <c r="R746" s="1" t="s">
        <v>294</v>
      </c>
      <c r="V746" s="55" t="s">
        <v>292</v>
      </c>
      <c r="W746" s="56" t="n">
        <v>1</v>
      </c>
      <c r="X746" s="57" t="n">
        <f aca="false">W746*8/$T$742</f>
        <v>0.0888888888888889</v>
      </c>
      <c r="Y746" s="28" t="n">
        <v>20.51</v>
      </c>
      <c r="Z746" s="28" t="n">
        <f aca="false">X746*Y746</f>
        <v>1.82311111111111</v>
      </c>
    </row>
    <row r="747" customFormat="false" ht="15" hidden="false" customHeight="false" outlineLevel="0" collapsed="false">
      <c r="Z747" s="53" t="n">
        <f aca="false">SUM(Z745:Z746)</f>
        <v>4.39555555555556</v>
      </c>
    </row>
    <row r="748" customFormat="false" ht="15" hidden="false" customHeight="false" outlineLevel="0" collapsed="false">
      <c r="R748" s="54" t="s">
        <v>318</v>
      </c>
    </row>
    <row r="749" customFormat="false" ht="15" hidden="false" customHeight="false" outlineLevel="0" collapsed="false">
      <c r="R749" s="1" t="s">
        <v>311</v>
      </c>
      <c r="V749" s="55" t="s">
        <v>312</v>
      </c>
      <c r="X749" s="57" t="n">
        <v>5</v>
      </c>
      <c r="Y749" s="28" t="n">
        <f aca="false">Z747</f>
        <v>4.39555555555556</v>
      </c>
      <c r="Z749" s="28" t="n">
        <f aca="false">X749%*Y749</f>
        <v>0.219777777777778</v>
      </c>
    </row>
    <row r="750" customFormat="false" ht="15" hidden="false" customHeight="false" outlineLevel="0" collapsed="false">
      <c r="R750" s="1" t="s">
        <v>1271</v>
      </c>
      <c r="V750" s="55" t="s">
        <v>338</v>
      </c>
      <c r="W750" s="56" t="n">
        <v>1</v>
      </c>
      <c r="X750" s="57" t="n">
        <f aca="false">W750*8/$T$742</f>
        <v>0.0888888888888889</v>
      </c>
      <c r="Y750" s="28" t="n">
        <v>4.09</v>
      </c>
      <c r="Z750" s="28" t="n">
        <f aca="false">X750*Y750</f>
        <v>0.363555555555556</v>
      </c>
    </row>
    <row r="751" customFormat="false" ht="15" hidden="false" customHeight="false" outlineLevel="0" collapsed="false">
      <c r="Q751" s="60"/>
      <c r="R751" s="60"/>
      <c r="S751" s="60"/>
      <c r="T751" s="60"/>
      <c r="U751" s="60"/>
      <c r="V751" s="60"/>
      <c r="W751" s="60"/>
      <c r="X751" s="60"/>
      <c r="Y751" s="60"/>
      <c r="Z751" s="61" t="n">
        <f aca="false">SUM(Z749:Z750)</f>
        <v>0.583333333333333</v>
      </c>
    </row>
    <row r="753" customFormat="false" ht="15" hidden="false" customHeight="false" outlineLevel="0" collapsed="false">
      <c r="Q753" s="14" t="s">
        <v>334</v>
      </c>
      <c r="R753" s="14"/>
      <c r="S753" s="14" t="s">
        <v>1275</v>
      </c>
      <c r="T753" s="14"/>
      <c r="U753" s="14"/>
      <c r="V753" s="14"/>
      <c r="W753" s="14"/>
      <c r="X753" s="14"/>
      <c r="Y753" s="14"/>
    </row>
    <row r="754" customFormat="false" ht="15" hidden="false" customHeight="false" outlineLevel="0" collapsed="false">
      <c r="Q754" s="14" t="s">
        <v>279</v>
      </c>
      <c r="R754" s="14" t="s">
        <v>280</v>
      </c>
      <c r="S754" s="36" t="s">
        <v>281</v>
      </c>
      <c r="T754" s="52" t="n">
        <v>75</v>
      </c>
      <c r="U754" s="36" t="s">
        <v>282</v>
      </c>
      <c r="V754" s="52" t="n">
        <f aca="false">T754</f>
        <v>75</v>
      </c>
      <c r="W754" s="14" t="s">
        <v>283</v>
      </c>
      <c r="Y754" s="36" t="s">
        <v>134</v>
      </c>
      <c r="Z754" s="53" t="n">
        <f aca="false">Z759+Z762</f>
        <v>5.5384</v>
      </c>
    </row>
    <row r="755" customFormat="false" ht="15" hidden="false" customHeight="false" outlineLevel="0" collapsed="false">
      <c r="Q755" s="14" t="s">
        <v>284</v>
      </c>
      <c r="R755" s="14" t="s">
        <v>285</v>
      </c>
      <c r="V755" s="36" t="s">
        <v>123</v>
      </c>
      <c r="W755" s="36" t="s">
        <v>286</v>
      </c>
      <c r="X755" s="36" t="s">
        <v>287</v>
      </c>
      <c r="Y755" s="36" t="s">
        <v>288</v>
      </c>
      <c r="Z755" s="36" t="s">
        <v>289</v>
      </c>
    </row>
    <row r="756" customFormat="false" ht="15" hidden="false" customHeight="false" outlineLevel="0" collapsed="false">
      <c r="R756" s="54" t="s">
        <v>290</v>
      </c>
    </row>
    <row r="757" customFormat="false" ht="15" hidden="false" customHeight="false" outlineLevel="0" collapsed="false">
      <c r="R757" s="1" t="s">
        <v>291</v>
      </c>
      <c r="V757" s="55" t="s">
        <v>292</v>
      </c>
      <c r="W757" s="56" t="n">
        <v>1</v>
      </c>
      <c r="X757" s="57" t="n">
        <f aca="false">W757*8/$T$754</f>
        <v>0.106666666666667</v>
      </c>
      <c r="Y757" s="28" t="n">
        <v>28.94</v>
      </c>
      <c r="Z757" s="28" t="n">
        <f aca="false">X757*Y757</f>
        <v>3.08693333333333</v>
      </c>
    </row>
    <row r="758" customFormat="false" ht="15" hidden="false" customHeight="false" outlineLevel="0" collapsed="false">
      <c r="R758" s="1" t="s">
        <v>294</v>
      </c>
      <c r="V758" s="55" t="s">
        <v>292</v>
      </c>
      <c r="W758" s="56" t="n">
        <v>1</v>
      </c>
      <c r="X758" s="57" t="n">
        <f aca="false">W758*8/$T$754</f>
        <v>0.106666666666667</v>
      </c>
      <c r="Y758" s="28" t="n">
        <v>20.51</v>
      </c>
      <c r="Z758" s="28" t="n">
        <f aca="false">X758*Y758</f>
        <v>2.18773333333333</v>
      </c>
    </row>
    <row r="759" customFormat="false" ht="15" hidden="false" customHeight="false" outlineLevel="0" collapsed="false">
      <c r="Z759" s="53" t="n">
        <f aca="false">SUM(Z757:Z758)</f>
        <v>5.27466666666667</v>
      </c>
    </row>
    <row r="760" customFormat="false" ht="15" hidden="false" customHeight="false" outlineLevel="0" collapsed="false">
      <c r="R760" s="54" t="s">
        <v>318</v>
      </c>
    </row>
    <row r="761" customFormat="false" ht="15" hidden="false" customHeight="false" outlineLevel="0" collapsed="false">
      <c r="R761" s="1" t="s">
        <v>311</v>
      </c>
      <c r="V761" s="55" t="s">
        <v>312</v>
      </c>
      <c r="X761" s="57" t="n">
        <v>5</v>
      </c>
      <c r="Y761" s="28" t="n">
        <f aca="false">Z759</f>
        <v>5.27466666666667</v>
      </c>
      <c r="Z761" s="28" t="n">
        <f aca="false">X761%*Y761</f>
        <v>0.263733333333333</v>
      </c>
    </row>
    <row r="762" customFormat="false" ht="15" hidden="false" customHeight="false" outlineLevel="0" collapsed="false">
      <c r="Q762" s="60"/>
      <c r="R762" s="60"/>
      <c r="S762" s="60"/>
      <c r="T762" s="60"/>
      <c r="U762" s="60"/>
      <c r="V762" s="60"/>
      <c r="W762" s="60"/>
      <c r="X762" s="60"/>
      <c r="Y762" s="60"/>
      <c r="Z762" s="61" t="n">
        <f aca="false">SUM(Z761:Z761)</f>
        <v>0.263733333333333</v>
      </c>
    </row>
    <row r="764" customFormat="false" ht="15" hidden="false" customHeight="false" outlineLevel="0" collapsed="false">
      <c r="Q764" s="14" t="s">
        <v>334</v>
      </c>
      <c r="R764" s="14"/>
      <c r="S764" s="14" t="s">
        <v>1276</v>
      </c>
      <c r="T764" s="14"/>
      <c r="U764" s="14"/>
      <c r="V764" s="14"/>
      <c r="W764" s="14"/>
      <c r="X764" s="14"/>
      <c r="Y764" s="14"/>
    </row>
    <row r="765" customFormat="false" ht="15" hidden="false" customHeight="false" outlineLevel="0" collapsed="false">
      <c r="Q765" s="14" t="s">
        <v>279</v>
      </c>
      <c r="R765" s="14" t="s">
        <v>280</v>
      </c>
      <c r="S765" s="36" t="s">
        <v>281</v>
      </c>
      <c r="T765" s="52" t="n">
        <v>75</v>
      </c>
      <c r="U765" s="36" t="s">
        <v>282</v>
      </c>
      <c r="V765" s="52" t="n">
        <f aca="false">T765</f>
        <v>75</v>
      </c>
      <c r="W765" s="14" t="s">
        <v>283</v>
      </c>
      <c r="Y765" s="36" t="s">
        <v>134</v>
      </c>
      <c r="Z765" s="53" t="n">
        <f aca="false">Z770+Z773</f>
        <v>5.5384</v>
      </c>
    </row>
    <row r="766" customFormat="false" ht="15" hidden="false" customHeight="false" outlineLevel="0" collapsed="false">
      <c r="Q766" s="14" t="s">
        <v>284</v>
      </c>
      <c r="R766" s="14" t="s">
        <v>285</v>
      </c>
      <c r="V766" s="36" t="s">
        <v>123</v>
      </c>
      <c r="W766" s="36" t="s">
        <v>286</v>
      </c>
      <c r="X766" s="36" t="s">
        <v>287</v>
      </c>
      <c r="Y766" s="36" t="s">
        <v>288</v>
      </c>
      <c r="Z766" s="36" t="s">
        <v>289</v>
      </c>
    </row>
    <row r="767" customFormat="false" ht="15" hidden="false" customHeight="false" outlineLevel="0" collapsed="false">
      <c r="R767" s="54" t="s">
        <v>290</v>
      </c>
    </row>
    <row r="768" customFormat="false" ht="15" hidden="false" customHeight="false" outlineLevel="0" collapsed="false">
      <c r="R768" s="1" t="s">
        <v>291</v>
      </c>
      <c r="V768" s="55" t="s">
        <v>292</v>
      </c>
      <c r="W768" s="56" t="n">
        <v>1</v>
      </c>
      <c r="X768" s="57" t="n">
        <f aca="false">W768*8/$T$765</f>
        <v>0.106666666666667</v>
      </c>
      <c r="Y768" s="28" t="n">
        <v>28.94</v>
      </c>
      <c r="Z768" s="28" t="n">
        <f aca="false">X768*Y768</f>
        <v>3.08693333333333</v>
      </c>
    </row>
    <row r="769" customFormat="false" ht="15" hidden="false" customHeight="false" outlineLevel="0" collapsed="false">
      <c r="R769" s="1" t="s">
        <v>294</v>
      </c>
      <c r="V769" s="55" t="s">
        <v>292</v>
      </c>
      <c r="W769" s="56" t="n">
        <v>1</v>
      </c>
      <c r="X769" s="57" t="n">
        <f aca="false">W769*8/$T$765</f>
        <v>0.106666666666667</v>
      </c>
      <c r="Y769" s="28" t="n">
        <v>20.51</v>
      </c>
      <c r="Z769" s="28" t="n">
        <f aca="false">X769*Y769</f>
        <v>2.18773333333333</v>
      </c>
    </row>
    <row r="770" customFormat="false" ht="15" hidden="false" customHeight="false" outlineLevel="0" collapsed="false">
      <c r="Z770" s="53" t="n">
        <f aca="false">SUM(Z768:Z769)</f>
        <v>5.27466666666667</v>
      </c>
    </row>
    <row r="771" customFormat="false" ht="15" hidden="false" customHeight="false" outlineLevel="0" collapsed="false">
      <c r="R771" s="54" t="s">
        <v>318</v>
      </c>
    </row>
    <row r="772" customFormat="false" ht="15" hidden="false" customHeight="false" outlineLevel="0" collapsed="false">
      <c r="R772" s="1" t="s">
        <v>311</v>
      </c>
      <c r="V772" s="55" t="s">
        <v>312</v>
      </c>
      <c r="X772" s="57" t="n">
        <v>5</v>
      </c>
      <c r="Y772" s="28" t="n">
        <f aca="false">Z770</f>
        <v>5.27466666666667</v>
      </c>
      <c r="Z772" s="28" t="n">
        <f aca="false">X772%*Y772</f>
        <v>0.263733333333333</v>
      </c>
    </row>
    <row r="773" customFormat="false" ht="15" hidden="false" customHeight="false" outlineLevel="0" collapsed="false">
      <c r="Q773" s="60"/>
      <c r="R773" s="60"/>
      <c r="S773" s="60"/>
      <c r="T773" s="60"/>
      <c r="U773" s="60"/>
      <c r="V773" s="60"/>
      <c r="W773" s="60"/>
      <c r="X773" s="60"/>
      <c r="Y773" s="60"/>
      <c r="Z773" s="61" t="n">
        <f aca="false">SUM(Z772:Z772)</f>
        <v>0.263733333333333</v>
      </c>
    </row>
    <row r="775" customFormat="false" ht="15" hidden="false" customHeight="false" outlineLevel="0" collapsed="false">
      <c r="Q775" s="14" t="s">
        <v>334</v>
      </c>
      <c r="R775" s="14"/>
      <c r="S775" s="14" t="s">
        <v>1277</v>
      </c>
      <c r="T775" s="14"/>
      <c r="U775" s="14"/>
      <c r="V775" s="14"/>
      <c r="W775" s="14"/>
      <c r="X775" s="14"/>
      <c r="Y775" s="14"/>
    </row>
    <row r="776" customFormat="false" ht="15" hidden="false" customHeight="false" outlineLevel="0" collapsed="false">
      <c r="Q776" s="14" t="s">
        <v>279</v>
      </c>
      <c r="R776" s="14" t="s">
        <v>280</v>
      </c>
      <c r="S776" s="36" t="s">
        <v>281</v>
      </c>
      <c r="T776" s="52" t="n">
        <v>40</v>
      </c>
      <c r="U776" s="36" t="s">
        <v>282</v>
      </c>
      <c r="V776" s="52" t="n">
        <f aca="false">T776</f>
        <v>40</v>
      </c>
      <c r="W776" s="14" t="s">
        <v>283</v>
      </c>
      <c r="Y776" s="36" t="s">
        <v>134</v>
      </c>
      <c r="Z776" s="53" t="n">
        <f aca="false">Z781+Z784</f>
        <v>10.3845</v>
      </c>
    </row>
    <row r="777" customFormat="false" ht="15" hidden="false" customHeight="false" outlineLevel="0" collapsed="false">
      <c r="Q777" s="14" t="s">
        <v>284</v>
      </c>
      <c r="R777" s="14" t="s">
        <v>285</v>
      </c>
      <c r="V777" s="36" t="s">
        <v>123</v>
      </c>
      <c r="W777" s="36" t="s">
        <v>286</v>
      </c>
      <c r="X777" s="36" t="s">
        <v>287</v>
      </c>
      <c r="Y777" s="36" t="s">
        <v>288</v>
      </c>
      <c r="Z777" s="36" t="s">
        <v>289</v>
      </c>
    </row>
    <row r="778" customFormat="false" ht="15" hidden="false" customHeight="false" outlineLevel="0" collapsed="false">
      <c r="R778" s="54" t="s">
        <v>290</v>
      </c>
    </row>
    <row r="779" customFormat="false" ht="15" hidden="false" customHeight="false" outlineLevel="0" collapsed="false">
      <c r="R779" s="1" t="s">
        <v>291</v>
      </c>
      <c r="V779" s="55" t="s">
        <v>292</v>
      </c>
      <c r="W779" s="56" t="n">
        <v>1</v>
      </c>
      <c r="X779" s="57" t="n">
        <f aca="false">W779*8/$T$776</f>
        <v>0.2</v>
      </c>
      <c r="Y779" s="28" t="n">
        <v>28.94</v>
      </c>
      <c r="Z779" s="28" t="n">
        <f aca="false">X779*Y779</f>
        <v>5.788</v>
      </c>
    </row>
    <row r="780" customFormat="false" ht="15" hidden="false" customHeight="false" outlineLevel="0" collapsed="false">
      <c r="R780" s="1" t="s">
        <v>294</v>
      </c>
      <c r="V780" s="55" t="s">
        <v>292</v>
      </c>
      <c r="W780" s="56" t="n">
        <v>1</v>
      </c>
      <c r="X780" s="57" t="n">
        <f aca="false">W780*8/$T$776</f>
        <v>0.2</v>
      </c>
      <c r="Y780" s="28" t="n">
        <v>20.51</v>
      </c>
      <c r="Z780" s="28" t="n">
        <f aca="false">X780*Y780</f>
        <v>4.102</v>
      </c>
    </row>
    <row r="781" customFormat="false" ht="15" hidden="false" customHeight="false" outlineLevel="0" collapsed="false">
      <c r="Z781" s="53" t="n">
        <f aca="false">SUM(Z779:Z780)</f>
        <v>9.89</v>
      </c>
    </row>
    <row r="782" customFormat="false" ht="15" hidden="false" customHeight="false" outlineLevel="0" collapsed="false">
      <c r="R782" s="54" t="s">
        <v>318</v>
      </c>
    </row>
    <row r="783" customFormat="false" ht="15" hidden="false" customHeight="false" outlineLevel="0" collapsed="false">
      <c r="R783" s="1" t="s">
        <v>311</v>
      </c>
      <c r="V783" s="55" t="s">
        <v>312</v>
      </c>
      <c r="X783" s="57" t="n">
        <v>5</v>
      </c>
      <c r="Y783" s="28" t="n">
        <f aca="false">Z781</f>
        <v>9.89</v>
      </c>
      <c r="Z783" s="28" t="n">
        <f aca="false">X783%*Y783</f>
        <v>0.4945</v>
      </c>
    </row>
    <row r="784" customFormat="false" ht="15" hidden="false" customHeight="false" outlineLevel="0" collapsed="false">
      <c r="Q784" s="60"/>
      <c r="R784" s="60"/>
      <c r="S784" s="60"/>
      <c r="T784" s="60"/>
      <c r="U784" s="60"/>
      <c r="V784" s="60"/>
      <c r="W784" s="60"/>
      <c r="X784" s="60"/>
      <c r="Y784" s="60"/>
      <c r="Z784" s="61" t="n">
        <f aca="false">SUM(Z783:Z783)</f>
        <v>0.4945</v>
      </c>
    </row>
    <row r="786" customFormat="false" ht="15" hidden="false" customHeight="false" outlineLevel="0" collapsed="false">
      <c r="Q786" s="14" t="s">
        <v>334</v>
      </c>
      <c r="R786" s="14"/>
      <c r="S786" s="14" t="s">
        <v>1278</v>
      </c>
      <c r="T786" s="14"/>
      <c r="U786" s="14"/>
      <c r="V786" s="14"/>
      <c r="W786" s="14"/>
      <c r="X786" s="14"/>
      <c r="Y786" s="14"/>
    </row>
    <row r="787" customFormat="false" ht="15" hidden="false" customHeight="false" outlineLevel="0" collapsed="false">
      <c r="Q787" s="14" t="s">
        <v>279</v>
      </c>
      <c r="R787" s="14" t="s">
        <v>280</v>
      </c>
      <c r="S787" s="36" t="s">
        <v>281</v>
      </c>
      <c r="T787" s="52" t="n">
        <v>40</v>
      </c>
      <c r="U787" s="36" t="s">
        <v>282</v>
      </c>
      <c r="V787" s="52" t="n">
        <f aca="false">T787</f>
        <v>40</v>
      </c>
      <c r="W787" s="14" t="s">
        <v>283</v>
      </c>
      <c r="Y787" s="36" t="s">
        <v>134</v>
      </c>
      <c r="Z787" s="53" t="n">
        <f aca="false">Z792+Z795</f>
        <v>10.3845</v>
      </c>
    </row>
    <row r="788" customFormat="false" ht="15" hidden="false" customHeight="false" outlineLevel="0" collapsed="false">
      <c r="Q788" s="14" t="s">
        <v>284</v>
      </c>
      <c r="R788" s="14" t="s">
        <v>285</v>
      </c>
      <c r="V788" s="36" t="s">
        <v>123</v>
      </c>
      <c r="W788" s="36" t="s">
        <v>286</v>
      </c>
      <c r="X788" s="36" t="s">
        <v>287</v>
      </c>
      <c r="Y788" s="36" t="s">
        <v>288</v>
      </c>
      <c r="Z788" s="36" t="s">
        <v>289</v>
      </c>
    </row>
    <row r="789" customFormat="false" ht="15" hidden="false" customHeight="false" outlineLevel="0" collapsed="false">
      <c r="R789" s="54" t="s">
        <v>290</v>
      </c>
    </row>
    <row r="790" customFormat="false" ht="15" hidden="false" customHeight="false" outlineLevel="0" collapsed="false">
      <c r="R790" s="1" t="s">
        <v>291</v>
      </c>
      <c r="V790" s="55" t="s">
        <v>292</v>
      </c>
      <c r="W790" s="56" t="n">
        <v>1</v>
      </c>
      <c r="X790" s="57" t="n">
        <f aca="false">W790*8/$T$787</f>
        <v>0.2</v>
      </c>
      <c r="Y790" s="28" t="n">
        <v>28.94</v>
      </c>
      <c r="Z790" s="28" t="n">
        <f aca="false">X790*Y790</f>
        <v>5.788</v>
      </c>
    </row>
    <row r="791" customFormat="false" ht="15" hidden="false" customHeight="false" outlineLevel="0" collapsed="false">
      <c r="R791" s="1" t="s">
        <v>294</v>
      </c>
      <c r="V791" s="55" t="s">
        <v>292</v>
      </c>
      <c r="W791" s="56" t="n">
        <v>1</v>
      </c>
      <c r="X791" s="57" t="n">
        <f aca="false">W791*8/$T$787</f>
        <v>0.2</v>
      </c>
      <c r="Y791" s="28" t="n">
        <v>20.51</v>
      </c>
      <c r="Z791" s="28" t="n">
        <f aca="false">X791*Y791</f>
        <v>4.102</v>
      </c>
    </row>
    <row r="792" customFormat="false" ht="15" hidden="false" customHeight="false" outlineLevel="0" collapsed="false">
      <c r="Z792" s="53" t="n">
        <f aca="false">SUM(Z790:Z791)</f>
        <v>9.89</v>
      </c>
    </row>
    <row r="793" customFormat="false" ht="15" hidden="false" customHeight="false" outlineLevel="0" collapsed="false">
      <c r="R793" s="54" t="s">
        <v>318</v>
      </c>
    </row>
    <row r="794" customFormat="false" ht="15" hidden="false" customHeight="false" outlineLevel="0" collapsed="false">
      <c r="R794" s="1" t="s">
        <v>311</v>
      </c>
      <c r="V794" s="55" t="s">
        <v>312</v>
      </c>
      <c r="X794" s="57" t="n">
        <v>5</v>
      </c>
      <c r="Y794" s="28" t="n">
        <f aca="false">Z792</f>
        <v>9.89</v>
      </c>
      <c r="Z794" s="28" t="n">
        <f aca="false">X794%*Y794</f>
        <v>0.4945</v>
      </c>
    </row>
    <row r="795" customFormat="false" ht="15" hidden="false" customHeight="false" outlineLevel="0" collapsed="false">
      <c r="Q795" s="60"/>
      <c r="R795" s="60"/>
      <c r="S795" s="60"/>
      <c r="T795" s="60"/>
      <c r="U795" s="60"/>
      <c r="V795" s="60"/>
      <c r="W795" s="60"/>
      <c r="X795" s="60"/>
      <c r="Y795" s="60"/>
      <c r="Z795" s="61" t="n">
        <f aca="false">SUM(Z794:Z794)</f>
        <v>0.4945</v>
      </c>
    </row>
    <row r="797" customFormat="false" ht="15" hidden="false" customHeight="false" outlineLevel="0" collapsed="false">
      <c r="Q797" s="14" t="s">
        <v>334</v>
      </c>
      <c r="R797" s="14"/>
      <c r="S797" s="14" t="s">
        <v>1279</v>
      </c>
      <c r="T797" s="14"/>
      <c r="U797" s="14"/>
      <c r="V797" s="14"/>
      <c r="W797" s="14"/>
      <c r="X797" s="14"/>
      <c r="Y797" s="14"/>
    </row>
    <row r="798" customFormat="false" ht="15" hidden="false" customHeight="false" outlineLevel="0" collapsed="false">
      <c r="Q798" s="14" t="s">
        <v>279</v>
      </c>
      <c r="R798" s="14" t="s">
        <v>326</v>
      </c>
      <c r="S798" s="36" t="s">
        <v>281</v>
      </c>
      <c r="T798" s="52" t="n">
        <v>33</v>
      </c>
      <c r="U798" s="36" t="s">
        <v>282</v>
      </c>
      <c r="V798" s="52" t="n">
        <f aca="false">T798</f>
        <v>33</v>
      </c>
      <c r="W798" s="14" t="s">
        <v>283</v>
      </c>
      <c r="Y798" s="36" t="s">
        <v>150</v>
      </c>
      <c r="Z798" s="53" t="n">
        <f aca="false">Z803+Z806</f>
        <v>28.2494545454545</v>
      </c>
    </row>
    <row r="799" customFormat="false" ht="15" hidden="false" customHeight="false" outlineLevel="0" collapsed="false">
      <c r="Q799" s="14" t="s">
        <v>284</v>
      </c>
      <c r="R799" s="14" t="s">
        <v>285</v>
      </c>
      <c r="V799" s="36" t="s">
        <v>123</v>
      </c>
      <c r="W799" s="36" t="s">
        <v>286</v>
      </c>
      <c r="X799" s="36" t="s">
        <v>287</v>
      </c>
      <c r="Y799" s="36" t="s">
        <v>288</v>
      </c>
      <c r="Z799" s="36" t="s">
        <v>289</v>
      </c>
    </row>
    <row r="800" customFormat="false" ht="15" hidden="false" customHeight="false" outlineLevel="0" collapsed="false">
      <c r="R800" s="54" t="s">
        <v>290</v>
      </c>
    </row>
    <row r="801" customFormat="false" ht="15" hidden="false" customHeight="false" outlineLevel="0" collapsed="false">
      <c r="R801" s="1" t="s">
        <v>291</v>
      </c>
      <c r="V801" s="55" t="s">
        <v>292</v>
      </c>
      <c r="W801" s="56" t="n">
        <v>1</v>
      </c>
      <c r="X801" s="57" t="n">
        <f aca="false">W801*8/$T$798</f>
        <v>0.242424242424242</v>
      </c>
      <c r="Y801" s="28" t="n">
        <v>28.94</v>
      </c>
      <c r="Z801" s="28" t="n">
        <f aca="false">X801*Y801</f>
        <v>7.01575757575758</v>
      </c>
    </row>
    <row r="802" customFormat="false" ht="15" hidden="false" customHeight="false" outlineLevel="0" collapsed="false">
      <c r="R802" s="1" t="s">
        <v>294</v>
      </c>
      <c r="V802" s="55" t="s">
        <v>292</v>
      </c>
      <c r="W802" s="56" t="n">
        <v>4</v>
      </c>
      <c r="X802" s="57" t="n">
        <f aca="false">W802*8/$T$798</f>
        <v>0.96969696969697</v>
      </c>
      <c r="Y802" s="28" t="n">
        <v>20.51</v>
      </c>
      <c r="Z802" s="28" t="n">
        <f aca="false">X802*Y802</f>
        <v>19.8884848484849</v>
      </c>
    </row>
    <row r="803" customFormat="false" ht="15" hidden="false" customHeight="false" outlineLevel="0" collapsed="false">
      <c r="Z803" s="53" t="n">
        <f aca="false">SUM(Z801:Z802)</f>
        <v>26.9042424242424</v>
      </c>
    </row>
    <row r="804" customFormat="false" ht="15" hidden="false" customHeight="false" outlineLevel="0" collapsed="false">
      <c r="R804" s="54" t="s">
        <v>318</v>
      </c>
    </row>
    <row r="805" customFormat="false" ht="15" hidden="false" customHeight="false" outlineLevel="0" collapsed="false">
      <c r="R805" s="1" t="s">
        <v>311</v>
      </c>
      <c r="V805" s="55" t="s">
        <v>312</v>
      </c>
      <c r="X805" s="57" t="n">
        <v>5</v>
      </c>
      <c r="Y805" s="28" t="n">
        <f aca="false">Z803</f>
        <v>26.9042424242424</v>
      </c>
      <c r="Z805" s="28" t="n">
        <f aca="false">X805%*Y805</f>
        <v>1.34521212121212</v>
      </c>
    </row>
    <row r="806" customFormat="false" ht="15" hidden="false" customHeight="false" outlineLevel="0" collapsed="false">
      <c r="Q806" s="60"/>
      <c r="R806" s="60"/>
      <c r="S806" s="60"/>
      <c r="T806" s="60"/>
      <c r="U806" s="60"/>
      <c r="V806" s="60"/>
      <c r="W806" s="60"/>
      <c r="X806" s="60"/>
      <c r="Y806" s="60"/>
      <c r="Z806" s="61" t="n">
        <f aca="false">SUM(Z805:Z805)</f>
        <v>1.34521212121212</v>
      </c>
    </row>
    <row r="808" customFormat="false" ht="15" hidden="false" customHeight="false" outlineLevel="0" collapsed="false">
      <c r="Q808" s="14" t="s">
        <v>334</v>
      </c>
      <c r="R808" s="14"/>
      <c r="S808" s="14" t="s">
        <v>1280</v>
      </c>
      <c r="T808" s="14"/>
      <c r="U808" s="14"/>
      <c r="V808" s="14"/>
      <c r="W808" s="14"/>
      <c r="X808" s="14"/>
      <c r="Y808" s="14"/>
    </row>
    <row r="809" customFormat="false" ht="15" hidden="false" customHeight="false" outlineLevel="0" collapsed="false">
      <c r="Q809" s="14" t="s">
        <v>279</v>
      </c>
      <c r="R809" s="14" t="s">
        <v>326</v>
      </c>
      <c r="S809" s="36" t="s">
        <v>281</v>
      </c>
      <c r="T809" s="52" t="n">
        <v>20</v>
      </c>
      <c r="U809" s="36" t="s">
        <v>282</v>
      </c>
      <c r="V809" s="52" t="n">
        <f aca="false">T809</f>
        <v>20</v>
      </c>
      <c r="W809" s="14" t="s">
        <v>283</v>
      </c>
      <c r="Y809" s="36" t="s">
        <v>150</v>
      </c>
      <c r="Z809" s="53" t="n">
        <f aca="false">Z814+Z819</f>
        <v>20.1474</v>
      </c>
    </row>
    <row r="810" customFormat="false" ht="15" hidden="false" customHeight="false" outlineLevel="0" collapsed="false">
      <c r="Q810" s="14" t="s">
        <v>284</v>
      </c>
      <c r="R810" s="14" t="s">
        <v>285</v>
      </c>
      <c r="V810" s="36" t="s">
        <v>123</v>
      </c>
      <c r="W810" s="36" t="s">
        <v>286</v>
      </c>
      <c r="X810" s="36" t="s">
        <v>287</v>
      </c>
      <c r="Y810" s="36" t="s">
        <v>288</v>
      </c>
      <c r="Z810" s="36" t="s">
        <v>289</v>
      </c>
    </row>
    <row r="811" customFormat="false" ht="15" hidden="false" customHeight="false" outlineLevel="0" collapsed="false">
      <c r="R811" s="54" t="s">
        <v>290</v>
      </c>
    </row>
    <row r="812" customFormat="false" ht="15" hidden="false" customHeight="false" outlineLevel="0" collapsed="false">
      <c r="R812" s="1" t="s">
        <v>293</v>
      </c>
      <c r="V812" s="55" t="s">
        <v>292</v>
      </c>
      <c r="W812" s="56" t="n">
        <v>1</v>
      </c>
      <c r="X812" s="57" t="n">
        <f aca="false">W812*8/$T$809</f>
        <v>0.4</v>
      </c>
      <c r="Y812" s="28" t="n">
        <v>22.66</v>
      </c>
      <c r="Z812" s="28" t="n">
        <f aca="false">X812*Y812</f>
        <v>9.064</v>
      </c>
    </row>
    <row r="813" customFormat="false" ht="15" hidden="false" customHeight="false" outlineLevel="0" collapsed="false">
      <c r="R813" s="1" t="s">
        <v>294</v>
      </c>
      <c r="V813" s="55" t="s">
        <v>292</v>
      </c>
      <c r="W813" s="56" t="n">
        <v>1</v>
      </c>
      <c r="X813" s="57" t="n">
        <f aca="false">W813*8/$T$809</f>
        <v>0.4</v>
      </c>
      <c r="Y813" s="28" t="n">
        <v>20.51</v>
      </c>
      <c r="Z813" s="28" t="n">
        <f aca="false">X813*Y813</f>
        <v>8.204</v>
      </c>
    </row>
    <row r="814" customFormat="false" ht="15" hidden="false" customHeight="false" outlineLevel="0" collapsed="false">
      <c r="Z814" s="53" t="n">
        <f aca="false">SUM(Z812:Z813)</f>
        <v>17.268</v>
      </c>
    </row>
    <row r="815" customFormat="false" ht="15" hidden="false" customHeight="false" outlineLevel="0" collapsed="false">
      <c r="R815" s="54" t="s">
        <v>318</v>
      </c>
    </row>
    <row r="816" customFormat="false" ht="15" hidden="false" customHeight="false" outlineLevel="0" collapsed="false">
      <c r="R816" s="1" t="s">
        <v>311</v>
      </c>
      <c r="V816" s="55" t="s">
        <v>312</v>
      </c>
      <c r="X816" s="57" t="n">
        <v>5</v>
      </c>
      <c r="Y816" s="28" t="n">
        <f aca="false">Z814</f>
        <v>17.268</v>
      </c>
      <c r="Z816" s="28" t="n">
        <f aca="false">X816%*Y816</f>
        <v>0.8634</v>
      </c>
    </row>
    <row r="817" customFormat="false" ht="15" hidden="false" customHeight="false" outlineLevel="0" collapsed="false">
      <c r="R817" s="1" t="s">
        <v>1281</v>
      </c>
      <c r="V817" s="55" t="s">
        <v>338</v>
      </c>
      <c r="W817" s="56" t="n">
        <v>0.5</v>
      </c>
      <c r="X817" s="57" t="n">
        <f aca="false">W817*8/$T$809</f>
        <v>0.2</v>
      </c>
      <c r="Y817" s="28" t="n">
        <v>4.09</v>
      </c>
      <c r="Z817" s="28" t="n">
        <f aca="false">X817*Y817</f>
        <v>0.818</v>
      </c>
    </row>
    <row r="818" customFormat="false" ht="15" hidden="false" customHeight="false" outlineLevel="0" collapsed="false">
      <c r="R818" s="1" t="s">
        <v>1282</v>
      </c>
      <c r="V818" s="55" t="s">
        <v>338</v>
      </c>
      <c r="W818" s="56" t="n">
        <v>0.5</v>
      </c>
      <c r="X818" s="57" t="n">
        <f aca="false">W818*8/$T$809</f>
        <v>0.2</v>
      </c>
      <c r="Y818" s="28" t="n">
        <v>5.99</v>
      </c>
      <c r="Z818" s="28" t="n">
        <f aca="false">X818*Y818</f>
        <v>1.198</v>
      </c>
    </row>
    <row r="819" customFormat="false" ht="15" hidden="false" customHeight="false" outlineLevel="0" collapsed="false">
      <c r="Q819" s="60"/>
      <c r="R819" s="60"/>
      <c r="S819" s="60"/>
      <c r="T819" s="60"/>
      <c r="U819" s="60"/>
      <c r="V819" s="60"/>
      <c r="W819" s="60"/>
      <c r="X819" s="60"/>
      <c r="Y819" s="60"/>
      <c r="Z819" s="61" t="n">
        <f aca="false">SUM(Z816:Z818)</f>
        <v>2.8794</v>
      </c>
    </row>
    <row r="821" customFormat="false" ht="15" hidden="false" customHeight="false" outlineLevel="0" collapsed="false">
      <c r="Q821" s="14" t="s">
        <v>334</v>
      </c>
      <c r="R821" s="14"/>
      <c r="S821" s="14" t="s">
        <v>1283</v>
      </c>
      <c r="T821" s="14"/>
      <c r="U821" s="14"/>
      <c r="V821" s="14"/>
      <c r="W821" s="14"/>
      <c r="X821" s="14"/>
      <c r="Y821" s="14"/>
    </row>
    <row r="822" customFormat="false" ht="15" hidden="false" customHeight="false" outlineLevel="0" collapsed="false">
      <c r="Q822" s="14" t="s">
        <v>279</v>
      </c>
      <c r="R822" s="14" t="s">
        <v>280</v>
      </c>
      <c r="S822" s="36" t="s">
        <v>281</v>
      </c>
      <c r="T822" s="52" t="n">
        <v>60</v>
      </c>
      <c r="U822" s="36" t="s">
        <v>282</v>
      </c>
      <c r="V822" s="52" t="n">
        <f aca="false">T822</f>
        <v>60</v>
      </c>
      <c r="W822" s="14" t="s">
        <v>283</v>
      </c>
      <c r="Y822" s="36" t="s">
        <v>134</v>
      </c>
      <c r="Z822" s="53" t="n">
        <f aca="false">Z827+Z830</f>
        <v>6.923</v>
      </c>
    </row>
    <row r="823" customFormat="false" ht="15" hidden="false" customHeight="false" outlineLevel="0" collapsed="false">
      <c r="Q823" s="14" t="s">
        <v>284</v>
      </c>
      <c r="R823" s="14" t="s">
        <v>285</v>
      </c>
      <c r="V823" s="36" t="s">
        <v>123</v>
      </c>
      <c r="W823" s="36" t="s">
        <v>286</v>
      </c>
      <c r="X823" s="36" t="s">
        <v>287</v>
      </c>
      <c r="Y823" s="36" t="s">
        <v>288</v>
      </c>
      <c r="Z823" s="36" t="s">
        <v>289</v>
      </c>
    </row>
    <row r="824" customFormat="false" ht="15" hidden="false" customHeight="false" outlineLevel="0" collapsed="false">
      <c r="R824" s="54" t="s">
        <v>290</v>
      </c>
    </row>
    <row r="825" customFormat="false" ht="15" hidden="false" customHeight="false" outlineLevel="0" collapsed="false">
      <c r="R825" s="1" t="s">
        <v>291</v>
      </c>
      <c r="V825" s="55" t="s">
        <v>292</v>
      </c>
      <c r="W825" s="56" t="n">
        <v>1</v>
      </c>
      <c r="X825" s="57" t="n">
        <f aca="false">W825*8/$T$822</f>
        <v>0.133333333333333</v>
      </c>
      <c r="Y825" s="28" t="n">
        <v>28.94</v>
      </c>
      <c r="Z825" s="28" t="n">
        <f aca="false">X825*Y825</f>
        <v>3.85866666666667</v>
      </c>
    </row>
    <row r="826" customFormat="false" ht="15" hidden="false" customHeight="false" outlineLevel="0" collapsed="false">
      <c r="R826" s="1" t="s">
        <v>294</v>
      </c>
      <c r="V826" s="55" t="s">
        <v>292</v>
      </c>
      <c r="W826" s="56" t="n">
        <v>1</v>
      </c>
      <c r="X826" s="57" t="n">
        <f aca="false">W826*8/$T$822</f>
        <v>0.133333333333333</v>
      </c>
      <c r="Y826" s="28" t="n">
        <v>20.51</v>
      </c>
      <c r="Z826" s="28" t="n">
        <f aca="false">X826*Y826</f>
        <v>2.73466666666667</v>
      </c>
    </row>
    <row r="827" customFormat="false" ht="15" hidden="false" customHeight="false" outlineLevel="0" collapsed="false">
      <c r="Z827" s="53" t="n">
        <f aca="false">SUM(Z825:Z826)</f>
        <v>6.59333333333333</v>
      </c>
    </row>
    <row r="828" customFormat="false" ht="15" hidden="false" customHeight="false" outlineLevel="0" collapsed="false">
      <c r="R828" s="54" t="s">
        <v>318</v>
      </c>
    </row>
    <row r="829" customFormat="false" ht="15" hidden="false" customHeight="false" outlineLevel="0" collapsed="false">
      <c r="R829" s="1" t="s">
        <v>311</v>
      </c>
      <c r="V829" s="55" t="s">
        <v>312</v>
      </c>
      <c r="X829" s="57" t="n">
        <v>5</v>
      </c>
      <c r="Y829" s="28" t="n">
        <f aca="false">Z827</f>
        <v>6.59333333333333</v>
      </c>
      <c r="Z829" s="28" t="n">
        <f aca="false">X829%*Y829</f>
        <v>0.329666666666667</v>
      </c>
    </row>
    <row r="830" customFormat="false" ht="15" hidden="false" customHeight="false" outlineLevel="0" collapsed="false">
      <c r="Q830" s="60"/>
      <c r="R830" s="60"/>
      <c r="S830" s="60"/>
      <c r="T830" s="60"/>
      <c r="U830" s="60"/>
      <c r="V830" s="60"/>
      <c r="W830" s="60"/>
      <c r="X830" s="60"/>
      <c r="Y830" s="60"/>
      <c r="Z830" s="61" t="n">
        <f aca="false">SUM(Z829:Z829)</f>
        <v>0.329666666666667</v>
      </c>
    </row>
    <row r="832" customFormat="false" ht="15" hidden="false" customHeight="false" outlineLevel="0" collapsed="false">
      <c r="Q832" s="14" t="s">
        <v>334</v>
      </c>
      <c r="R832" s="14"/>
      <c r="S832" s="14" t="s">
        <v>1284</v>
      </c>
      <c r="T832" s="14"/>
      <c r="U832" s="14"/>
      <c r="V832" s="14"/>
      <c r="W832" s="14"/>
      <c r="X832" s="14"/>
      <c r="Y832" s="14"/>
    </row>
    <row r="833" customFormat="false" ht="15" hidden="false" customHeight="false" outlineLevel="0" collapsed="false">
      <c r="Q833" s="14" t="s">
        <v>279</v>
      </c>
      <c r="R833" s="14" t="s">
        <v>326</v>
      </c>
      <c r="S833" s="36" t="s">
        <v>281</v>
      </c>
      <c r="T833" s="52" t="n">
        <v>16</v>
      </c>
      <c r="U833" s="36" t="s">
        <v>282</v>
      </c>
      <c r="V833" s="52" t="n">
        <f aca="false">T833</f>
        <v>16</v>
      </c>
      <c r="W833" s="14" t="s">
        <v>283</v>
      </c>
      <c r="Y833" s="36" t="s">
        <v>150</v>
      </c>
      <c r="Z833" s="53" t="n">
        <f aca="false">Z838+Z841</f>
        <v>22.66425</v>
      </c>
    </row>
    <row r="834" customFormat="false" ht="15" hidden="false" customHeight="false" outlineLevel="0" collapsed="false">
      <c r="Q834" s="14" t="s">
        <v>284</v>
      </c>
      <c r="R834" s="14" t="s">
        <v>285</v>
      </c>
      <c r="V834" s="36" t="s">
        <v>123</v>
      </c>
      <c r="W834" s="36" t="s">
        <v>286</v>
      </c>
      <c r="X834" s="36" t="s">
        <v>287</v>
      </c>
      <c r="Y834" s="36" t="s">
        <v>288</v>
      </c>
      <c r="Z834" s="36" t="s">
        <v>289</v>
      </c>
    </row>
    <row r="835" customFormat="false" ht="15" hidden="false" customHeight="false" outlineLevel="0" collapsed="false">
      <c r="R835" s="54" t="s">
        <v>290</v>
      </c>
    </row>
    <row r="836" customFormat="false" ht="15" hidden="false" customHeight="false" outlineLevel="0" collapsed="false">
      <c r="R836" s="1" t="s">
        <v>293</v>
      </c>
      <c r="V836" s="55" t="s">
        <v>292</v>
      </c>
      <c r="W836" s="56" t="n">
        <v>1</v>
      </c>
      <c r="X836" s="57" t="n">
        <f aca="false">W836*8/$T$833</f>
        <v>0.5</v>
      </c>
      <c r="Y836" s="28" t="n">
        <v>22.66</v>
      </c>
      <c r="Z836" s="28" t="n">
        <f aca="false">X836*Y836</f>
        <v>11.33</v>
      </c>
    </row>
    <row r="837" customFormat="false" ht="15" hidden="false" customHeight="false" outlineLevel="0" collapsed="false">
      <c r="R837" s="1" t="s">
        <v>294</v>
      </c>
      <c r="V837" s="55" t="s">
        <v>292</v>
      </c>
      <c r="W837" s="56" t="n">
        <v>1</v>
      </c>
      <c r="X837" s="57" t="n">
        <f aca="false">W837*8/$T$833</f>
        <v>0.5</v>
      </c>
      <c r="Y837" s="28" t="n">
        <v>20.51</v>
      </c>
      <c r="Z837" s="28" t="n">
        <f aca="false">X837*Y837</f>
        <v>10.255</v>
      </c>
    </row>
    <row r="838" customFormat="false" ht="15" hidden="false" customHeight="false" outlineLevel="0" collapsed="false">
      <c r="Z838" s="53" t="n">
        <f aca="false">SUM(Z836:Z837)</f>
        <v>21.585</v>
      </c>
    </row>
    <row r="839" customFormat="false" ht="15" hidden="false" customHeight="false" outlineLevel="0" collapsed="false">
      <c r="R839" s="54" t="s">
        <v>318</v>
      </c>
    </row>
    <row r="840" customFormat="false" ht="15" hidden="false" customHeight="false" outlineLevel="0" collapsed="false">
      <c r="R840" s="1" t="s">
        <v>311</v>
      </c>
      <c r="V840" s="55" t="s">
        <v>312</v>
      </c>
      <c r="X840" s="57" t="n">
        <v>5</v>
      </c>
      <c r="Y840" s="28" t="n">
        <f aca="false">Z838</f>
        <v>21.585</v>
      </c>
      <c r="Z840" s="28" t="n">
        <f aca="false">X840%*Y840</f>
        <v>1.07925</v>
      </c>
    </row>
    <row r="841" customFormat="false" ht="15" hidden="false" customHeight="false" outlineLevel="0" collapsed="false">
      <c r="Q841" s="60"/>
      <c r="R841" s="60"/>
      <c r="S841" s="60"/>
      <c r="T841" s="60"/>
      <c r="U841" s="60"/>
      <c r="V841" s="60"/>
      <c r="W841" s="60"/>
      <c r="X841" s="60"/>
      <c r="Y841" s="60"/>
      <c r="Z841" s="61" t="n">
        <f aca="false">SUM(Z840:Z840)</f>
        <v>1.07925</v>
      </c>
    </row>
    <row r="843" customFormat="false" ht="15" hidden="false" customHeight="false" outlineLevel="0" collapsed="false">
      <c r="Q843" s="14" t="s">
        <v>334</v>
      </c>
      <c r="R843" s="14"/>
      <c r="S843" s="14" t="s">
        <v>1285</v>
      </c>
      <c r="T843" s="14"/>
      <c r="U843" s="14"/>
      <c r="V843" s="14"/>
      <c r="W843" s="14"/>
      <c r="X843" s="14"/>
      <c r="Y843" s="14"/>
    </row>
    <row r="844" customFormat="false" ht="15" hidden="false" customHeight="false" outlineLevel="0" collapsed="false">
      <c r="Q844" s="14" t="s">
        <v>279</v>
      </c>
      <c r="R844" s="14" t="s">
        <v>280</v>
      </c>
      <c r="S844" s="36" t="s">
        <v>281</v>
      </c>
      <c r="T844" s="52" t="n">
        <v>40</v>
      </c>
      <c r="U844" s="36" t="s">
        <v>282</v>
      </c>
      <c r="V844" s="52" t="n">
        <f aca="false">T844</f>
        <v>40</v>
      </c>
      <c r="W844" s="14" t="s">
        <v>283</v>
      </c>
      <c r="Y844" s="36" t="s">
        <v>134</v>
      </c>
      <c r="Z844" s="53" t="n">
        <f aca="false">Z850+Z856</f>
        <v>51.2002</v>
      </c>
    </row>
    <row r="845" customFormat="false" ht="15" hidden="false" customHeight="false" outlineLevel="0" collapsed="false">
      <c r="Q845" s="14" t="s">
        <v>284</v>
      </c>
      <c r="R845" s="14" t="s">
        <v>285</v>
      </c>
      <c r="V845" s="36" t="s">
        <v>123</v>
      </c>
      <c r="W845" s="36" t="s">
        <v>286</v>
      </c>
      <c r="X845" s="36" t="s">
        <v>287</v>
      </c>
      <c r="Y845" s="36" t="s">
        <v>288</v>
      </c>
      <c r="Z845" s="36" t="s">
        <v>289</v>
      </c>
    </row>
    <row r="846" customFormat="false" ht="15" hidden="false" customHeight="false" outlineLevel="0" collapsed="false">
      <c r="R846" s="54" t="s">
        <v>290</v>
      </c>
    </row>
    <row r="847" customFormat="false" ht="15" hidden="false" customHeight="false" outlineLevel="0" collapsed="false">
      <c r="R847" s="1" t="s">
        <v>291</v>
      </c>
      <c r="V847" s="55" t="s">
        <v>292</v>
      </c>
      <c r="W847" s="56" t="n">
        <v>1</v>
      </c>
      <c r="X847" s="57" t="n">
        <f aca="false">W847*8/$T$844</f>
        <v>0.2</v>
      </c>
      <c r="Y847" s="28" t="n">
        <v>28.94</v>
      </c>
      <c r="Z847" s="28" t="n">
        <f aca="false">X847*Y847</f>
        <v>5.788</v>
      </c>
    </row>
    <row r="848" customFormat="false" ht="15" hidden="false" customHeight="false" outlineLevel="0" collapsed="false">
      <c r="R848" s="1" t="s">
        <v>293</v>
      </c>
      <c r="V848" s="55" t="s">
        <v>292</v>
      </c>
      <c r="W848" s="56" t="n">
        <v>1</v>
      </c>
      <c r="X848" s="57" t="n">
        <f aca="false">W848*8/$T$844</f>
        <v>0.2</v>
      </c>
      <c r="Y848" s="28" t="n">
        <v>22.66</v>
      </c>
      <c r="Z848" s="28" t="n">
        <f aca="false">X848*Y848</f>
        <v>4.532</v>
      </c>
    </row>
    <row r="849" customFormat="false" ht="15" hidden="false" customHeight="false" outlineLevel="0" collapsed="false">
      <c r="R849" s="1" t="s">
        <v>294</v>
      </c>
      <c r="V849" s="55" t="s">
        <v>292</v>
      </c>
      <c r="W849" s="56" t="n">
        <v>2</v>
      </c>
      <c r="X849" s="57" t="n">
        <f aca="false">W849*8/$T$844</f>
        <v>0.4</v>
      </c>
      <c r="Y849" s="28" t="n">
        <v>20.51</v>
      </c>
      <c r="Z849" s="28" t="n">
        <f aca="false">X849*Y849</f>
        <v>8.204</v>
      </c>
    </row>
    <row r="850" customFormat="false" ht="15" hidden="false" customHeight="false" outlineLevel="0" collapsed="false">
      <c r="Z850" s="53" t="n">
        <f aca="false">SUM(Z847:Z849)</f>
        <v>18.524</v>
      </c>
    </row>
    <row r="851" customFormat="false" ht="15" hidden="false" customHeight="false" outlineLevel="0" collapsed="false">
      <c r="R851" s="54" t="s">
        <v>318</v>
      </c>
    </row>
    <row r="852" customFormat="false" ht="15" hidden="false" customHeight="false" outlineLevel="0" collapsed="false">
      <c r="R852" s="1" t="s">
        <v>311</v>
      </c>
      <c r="V852" s="55" t="s">
        <v>312</v>
      </c>
      <c r="X852" s="57" t="n">
        <v>5</v>
      </c>
      <c r="Y852" s="28" t="n">
        <f aca="false">Z850</f>
        <v>18.524</v>
      </c>
      <c r="Z852" s="28" t="n">
        <f aca="false">X852%*Y852</f>
        <v>0.9262</v>
      </c>
    </row>
    <row r="853" customFormat="false" ht="15" hidden="false" customHeight="false" outlineLevel="0" collapsed="false">
      <c r="R853" s="1" t="s">
        <v>1281</v>
      </c>
      <c r="V853" s="55" t="s">
        <v>338</v>
      </c>
      <c r="W853" s="56" t="n">
        <v>1</v>
      </c>
      <c r="X853" s="57" t="n">
        <f aca="false">W853*8/$T$844</f>
        <v>0.2</v>
      </c>
      <c r="Y853" s="28" t="n">
        <v>4.09</v>
      </c>
      <c r="Z853" s="28" t="n">
        <f aca="false">X853*Y853</f>
        <v>0.818</v>
      </c>
    </row>
    <row r="854" customFormat="false" ht="15" hidden="false" customHeight="false" outlineLevel="0" collapsed="false">
      <c r="R854" s="1" t="s">
        <v>1286</v>
      </c>
      <c r="V854" s="55" t="s">
        <v>338</v>
      </c>
      <c r="W854" s="56" t="n">
        <v>1</v>
      </c>
      <c r="X854" s="57" t="n">
        <f aca="false">W854*8/$T$844</f>
        <v>0.2</v>
      </c>
      <c r="Y854" s="28" t="n">
        <v>152.54</v>
      </c>
      <c r="Z854" s="28" t="n">
        <f aca="false">X854*Y854</f>
        <v>30.508</v>
      </c>
    </row>
    <row r="855" customFormat="false" ht="15" hidden="false" customHeight="false" outlineLevel="0" collapsed="false">
      <c r="R855" s="1" t="s">
        <v>1287</v>
      </c>
      <c r="V855" s="55" t="s">
        <v>338</v>
      </c>
      <c r="W855" s="56" t="n">
        <v>0.5</v>
      </c>
      <c r="X855" s="57" t="n">
        <f aca="false">W855*8/$T$844</f>
        <v>0.1</v>
      </c>
      <c r="Y855" s="28" t="n">
        <v>4.24</v>
      </c>
      <c r="Z855" s="28" t="n">
        <f aca="false">X855*Y855</f>
        <v>0.424</v>
      </c>
    </row>
    <row r="856" customFormat="false" ht="15" hidden="false" customHeight="false" outlineLevel="0" collapsed="false">
      <c r="Q856" s="60"/>
      <c r="R856" s="60"/>
      <c r="S856" s="60"/>
      <c r="T856" s="60"/>
      <c r="U856" s="60"/>
      <c r="V856" s="60"/>
      <c r="W856" s="60"/>
      <c r="X856" s="60"/>
      <c r="Y856" s="60"/>
      <c r="Z856" s="61" t="n">
        <f aca="false">SUM(Z852:Z855)</f>
        <v>32.6762</v>
      </c>
    </row>
    <row r="858" customFormat="false" ht="15" hidden="false" customHeight="false" outlineLevel="0" collapsed="false">
      <c r="Q858" s="14" t="s">
        <v>334</v>
      </c>
      <c r="R858" s="14"/>
      <c r="S858" s="14" t="s">
        <v>1288</v>
      </c>
      <c r="T858" s="14"/>
      <c r="U858" s="14"/>
      <c r="V858" s="14"/>
      <c r="W858" s="14"/>
      <c r="X858" s="14"/>
      <c r="Y858" s="14"/>
    </row>
    <row r="859" customFormat="false" ht="15" hidden="false" customHeight="false" outlineLevel="0" collapsed="false">
      <c r="Q859" s="14" t="s">
        <v>279</v>
      </c>
      <c r="R859" s="14" t="s">
        <v>326</v>
      </c>
      <c r="S859" s="36" t="s">
        <v>281</v>
      </c>
      <c r="T859" s="52" t="n">
        <v>16</v>
      </c>
      <c r="U859" s="36" t="s">
        <v>282</v>
      </c>
      <c r="V859" s="52" t="n">
        <f aca="false">T859</f>
        <v>16</v>
      </c>
      <c r="W859" s="14" t="s">
        <v>283</v>
      </c>
      <c r="Y859" s="36" t="s">
        <v>150</v>
      </c>
      <c r="Z859" s="53" t="n">
        <f aca="false">Z864+Z867</f>
        <v>17.280375</v>
      </c>
    </row>
    <row r="860" customFormat="false" ht="15" hidden="false" customHeight="false" outlineLevel="0" collapsed="false">
      <c r="Q860" s="14" t="s">
        <v>284</v>
      </c>
      <c r="R860" s="14" t="s">
        <v>285</v>
      </c>
      <c r="V860" s="36" t="s">
        <v>123</v>
      </c>
      <c r="W860" s="36" t="s">
        <v>286</v>
      </c>
      <c r="X860" s="36" t="s">
        <v>287</v>
      </c>
      <c r="Y860" s="36" t="s">
        <v>288</v>
      </c>
      <c r="Z860" s="36" t="s">
        <v>289</v>
      </c>
    </row>
    <row r="861" customFormat="false" ht="15" hidden="false" customHeight="false" outlineLevel="0" collapsed="false">
      <c r="R861" s="54" t="s">
        <v>290</v>
      </c>
    </row>
    <row r="862" customFormat="false" ht="15" hidden="false" customHeight="false" outlineLevel="0" collapsed="false">
      <c r="R862" s="1" t="s">
        <v>293</v>
      </c>
      <c r="V862" s="55" t="s">
        <v>292</v>
      </c>
      <c r="W862" s="56" t="n">
        <v>1</v>
      </c>
      <c r="X862" s="57" t="n">
        <f aca="false">W862*8/$T$859</f>
        <v>0.5</v>
      </c>
      <c r="Y862" s="28" t="n">
        <v>22.66</v>
      </c>
      <c r="Z862" s="28" t="n">
        <f aca="false">X862*Y862</f>
        <v>11.33</v>
      </c>
    </row>
    <row r="863" customFormat="false" ht="15" hidden="false" customHeight="false" outlineLevel="0" collapsed="false">
      <c r="R863" s="1" t="s">
        <v>294</v>
      </c>
      <c r="V863" s="55" t="s">
        <v>292</v>
      </c>
      <c r="W863" s="56" t="n">
        <v>0.5</v>
      </c>
      <c r="X863" s="57" t="n">
        <f aca="false">W863*8/$T$859</f>
        <v>0.25</v>
      </c>
      <c r="Y863" s="28" t="n">
        <v>20.51</v>
      </c>
      <c r="Z863" s="28" t="n">
        <f aca="false">X863*Y863</f>
        <v>5.1275</v>
      </c>
    </row>
    <row r="864" customFormat="false" ht="15" hidden="false" customHeight="false" outlineLevel="0" collapsed="false">
      <c r="Z864" s="53" t="n">
        <f aca="false">SUM(Z862:Z863)</f>
        <v>16.4575</v>
      </c>
    </row>
    <row r="865" customFormat="false" ht="15" hidden="false" customHeight="false" outlineLevel="0" collapsed="false">
      <c r="R865" s="54" t="s">
        <v>318</v>
      </c>
    </row>
    <row r="866" customFormat="false" ht="15" hidden="false" customHeight="false" outlineLevel="0" collapsed="false">
      <c r="R866" s="1" t="s">
        <v>311</v>
      </c>
      <c r="V866" s="55" t="s">
        <v>312</v>
      </c>
      <c r="X866" s="57" t="n">
        <v>5</v>
      </c>
      <c r="Y866" s="28" t="n">
        <f aca="false">Z864</f>
        <v>16.4575</v>
      </c>
      <c r="Z866" s="28" t="n">
        <f aca="false">X866%*Y866</f>
        <v>0.822875</v>
      </c>
    </row>
    <row r="867" customFormat="false" ht="15" hidden="false" customHeight="false" outlineLevel="0" collapsed="false">
      <c r="Q867" s="60"/>
      <c r="R867" s="60"/>
      <c r="S867" s="60"/>
      <c r="T867" s="60"/>
      <c r="U867" s="60"/>
      <c r="V867" s="60"/>
      <c r="W867" s="60"/>
      <c r="X867" s="60"/>
      <c r="Y867" s="60"/>
      <c r="Z867" s="61" t="n">
        <f aca="false">SUM(Z866:Z866)</f>
        <v>0.822875</v>
      </c>
    </row>
    <row r="869" customFormat="false" ht="15" hidden="false" customHeight="false" outlineLevel="0" collapsed="false">
      <c r="Q869" s="14" t="s">
        <v>334</v>
      </c>
      <c r="R869" s="14"/>
      <c r="S869" s="14" t="s">
        <v>1289</v>
      </c>
      <c r="T869" s="14"/>
      <c r="U869" s="14"/>
      <c r="V869" s="14"/>
      <c r="W869" s="14"/>
      <c r="X869" s="14"/>
      <c r="Y869" s="14"/>
    </row>
    <row r="870" customFormat="false" ht="15" hidden="false" customHeight="false" outlineLevel="0" collapsed="false">
      <c r="Q870" s="14" t="s">
        <v>279</v>
      </c>
      <c r="R870" s="14" t="s">
        <v>326</v>
      </c>
      <c r="S870" s="36" t="s">
        <v>281</v>
      </c>
      <c r="T870" s="52" t="n">
        <v>10</v>
      </c>
      <c r="U870" s="36" t="s">
        <v>282</v>
      </c>
      <c r="V870" s="52" t="n">
        <f aca="false">T870</f>
        <v>10</v>
      </c>
      <c r="W870" s="14" t="s">
        <v>283</v>
      </c>
      <c r="Y870" s="36" t="s">
        <v>150</v>
      </c>
      <c r="Z870" s="53" t="n">
        <f aca="false">Z875+Z878</f>
        <v>27.6486</v>
      </c>
    </row>
    <row r="871" customFormat="false" ht="15" hidden="false" customHeight="false" outlineLevel="0" collapsed="false">
      <c r="Q871" s="14" t="s">
        <v>284</v>
      </c>
      <c r="R871" s="14" t="s">
        <v>285</v>
      </c>
      <c r="V871" s="36" t="s">
        <v>123</v>
      </c>
      <c r="W871" s="36" t="s">
        <v>286</v>
      </c>
      <c r="X871" s="36" t="s">
        <v>287</v>
      </c>
      <c r="Y871" s="36" t="s">
        <v>288</v>
      </c>
      <c r="Z871" s="36" t="s">
        <v>289</v>
      </c>
    </row>
    <row r="872" customFormat="false" ht="15" hidden="false" customHeight="false" outlineLevel="0" collapsed="false">
      <c r="R872" s="54" t="s">
        <v>290</v>
      </c>
    </row>
    <row r="873" customFormat="false" ht="15" hidden="false" customHeight="false" outlineLevel="0" collapsed="false">
      <c r="R873" s="1" t="s">
        <v>293</v>
      </c>
      <c r="V873" s="55" t="s">
        <v>292</v>
      </c>
      <c r="W873" s="56" t="n">
        <v>1</v>
      </c>
      <c r="X873" s="57" t="n">
        <f aca="false">W873*8/$T$870</f>
        <v>0.8</v>
      </c>
      <c r="Y873" s="28" t="n">
        <v>22.66</v>
      </c>
      <c r="Z873" s="28" t="n">
        <f aca="false">X873*Y873</f>
        <v>18.128</v>
      </c>
    </row>
    <row r="874" customFormat="false" ht="15" hidden="false" customHeight="false" outlineLevel="0" collapsed="false">
      <c r="R874" s="1" t="s">
        <v>294</v>
      </c>
      <c r="V874" s="55" t="s">
        <v>292</v>
      </c>
      <c r="W874" s="56" t="n">
        <v>0.5</v>
      </c>
      <c r="X874" s="57" t="n">
        <f aca="false">W874*8/$T$870</f>
        <v>0.4</v>
      </c>
      <c r="Y874" s="28" t="n">
        <v>20.51</v>
      </c>
      <c r="Z874" s="28" t="n">
        <f aca="false">X874*Y874</f>
        <v>8.204</v>
      </c>
    </row>
    <row r="875" customFormat="false" ht="15" hidden="false" customHeight="false" outlineLevel="0" collapsed="false">
      <c r="Z875" s="53" t="n">
        <f aca="false">SUM(Z873:Z874)</f>
        <v>26.332</v>
      </c>
    </row>
    <row r="876" customFormat="false" ht="15" hidden="false" customHeight="false" outlineLevel="0" collapsed="false">
      <c r="R876" s="54" t="s">
        <v>318</v>
      </c>
    </row>
    <row r="877" customFormat="false" ht="15" hidden="false" customHeight="false" outlineLevel="0" collapsed="false">
      <c r="R877" s="1" t="s">
        <v>311</v>
      </c>
      <c r="V877" s="55" t="s">
        <v>312</v>
      </c>
      <c r="X877" s="57" t="n">
        <v>5</v>
      </c>
      <c r="Y877" s="28" t="n">
        <f aca="false">Z875</f>
        <v>26.332</v>
      </c>
      <c r="Z877" s="28" t="n">
        <f aca="false">X877%*Y877</f>
        <v>1.3166</v>
      </c>
    </row>
    <row r="878" customFormat="false" ht="15" hidden="false" customHeight="false" outlineLevel="0" collapsed="false">
      <c r="Q878" s="60"/>
      <c r="R878" s="60"/>
      <c r="S878" s="60"/>
      <c r="T878" s="60"/>
      <c r="U878" s="60"/>
      <c r="V878" s="60"/>
      <c r="W878" s="60"/>
      <c r="X878" s="60"/>
      <c r="Y878" s="60"/>
      <c r="Z878" s="61" t="n">
        <f aca="false">SUM(Z877:Z877)</f>
        <v>1.3166</v>
      </c>
    </row>
    <row r="880" customFormat="false" ht="15" hidden="false" customHeight="false" outlineLevel="0" collapsed="false">
      <c r="Q880" s="14" t="s">
        <v>334</v>
      </c>
      <c r="R880" s="14"/>
      <c r="S880" s="14" t="s">
        <v>1290</v>
      </c>
      <c r="T880" s="14"/>
      <c r="U880" s="14"/>
      <c r="V880" s="14"/>
      <c r="W880" s="14"/>
      <c r="X880" s="14"/>
      <c r="Y880" s="14"/>
    </row>
    <row r="881" customFormat="false" ht="15" hidden="false" customHeight="false" outlineLevel="0" collapsed="false">
      <c r="Q881" s="14" t="s">
        <v>279</v>
      </c>
      <c r="R881" s="14" t="s">
        <v>314</v>
      </c>
      <c r="S881" s="36" t="s">
        <v>281</v>
      </c>
      <c r="T881" s="52" t="n">
        <v>250</v>
      </c>
      <c r="U881" s="36" t="s">
        <v>282</v>
      </c>
      <c r="V881" s="52" t="n">
        <f aca="false">T881</f>
        <v>250</v>
      </c>
      <c r="W881" s="14" t="s">
        <v>283</v>
      </c>
      <c r="Y881" s="36" t="s">
        <v>145</v>
      </c>
      <c r="Z881" s="53" t="n">
        <f aca="false">Z885+Z888</f>
        <v>1.378272</v>
      </c>
    </row>
    <row r="882" customFormat="false" ht="15" hidden="false" customHeight="false" outlineLevel="0" collapsed="false">
      <c r="Q882" s="14" t="s">
        <v>284</v>
      </c>
      <c r="R882" s="14" t="s">
        <v>285</v>
      </c>
      <c r="V882" s="36" t="s">
        <v>123</v>
      </c>
      <c r="W882" s="36" t="s">
        <v>286</v>
      </c>
      <c r="X882" s="36" t="s">
        <v>287</v>
      </c>
      <c r="Y882" s="36" t="s">
        <v>288</v>
      </c>
      <c r="Z882" s="36" t="s">
        <v>289</v>
      </c>
    </row>
    <row r="883" customFormat="false" ht="15" hidden="false" customHeight="false" outlineLevel="0" collapsed="false">
      <c r="R883" s="54" t="s">
        <v>290</v>
      </c>
    </row>
    <row r="884" customFormat="false" ht="15" hidden="false" customHeight="false" outlineLevel="0" collapsed="false">
      <c r="R884" s="1" t="s">
        <v>294</v>
      </c>
      <c r="V884" s="55" t="s">
        <v>292</v>
      </c>
      <c r="W884" s="56" t="n">
        <v>2</v>
      </c>
      <c r="X884" s="57" t="n">
        <f aca="false">W884*8/$T$881</f>
        <v>0.064</v>
      </c>
      <c r="Y884" s="28" t="n">
        <v>20.51</v>
      </c>
      <c r="Z884" s="28" t="n">
        <f aca="false">X884*Y884</f>
        <v>1.31264</v>
      </c>
    </row>
    <row r="885" customFormat="false" ht="15" hidden="false" customHeight="false" outlineLevel="0" collapsed="false">
      <c r="Z885" s="53" t="n">
        <f aca="false">SUM(Z884:Z884)</f>
        <v>1.31264</v>
      </c>
    </row>
    <row r="886" customFormat="false" ht="15" hidden="false" customHeight="false" outlineLevel="0" collapsed="false">
      <c r="R886" s="54" t="s">
        <v>318</v>
      </c>
    </row>
    <row r="887" customFormat="false" ht="15" hidden="false" customHeight="false" outlineLevel="0" collapsed="false">
      <c r="R887" s="1" t="s">
        <v>311</v>
      </c>
      <c r="V887" s="55" t="s">
        <v>312</v>
      </c>
      <c r="X887" s="57" t="n">
        <v>5</v>
      </c>
      <c r="Y887" s="28" t="n">
        <f aca="false">Z885</f>
        <v>1.31264</v>
      </c>
      <c r="Z887" s="28" t="n">
        <f aca="false">X887%*Y887</f>
        <v>0.065632</v>
      </c>
    </row>
    <row r="888" customFormat="false" ht="15" hidden="false" customHeight="false" outlineLevel="0" collapsed="false">
      <c r="Q888" s="60"/>
      <c r="R888" s="60"/>
      <c r="S888" s="60"/>
      <c r="T888" s="60"/>
      <c r="U888" s="60"/>
      <c r="V888" s="60"/>
      <c r="W888" s="60"/>
      <c r="X888" s="60"/>
      <c r="Y888" s="60"/>
      <c r="Z888" s="61" t="n">
        <f aca="false">SUM(Z887:Z887)</f>
        <v>0.065632</v>
      </c>
    </row>
    <row r="890" customFormat="false" ht="15" hidden="false" customHeight="false" outlineLevel="0" collapsed="false">
      <c r="Q890" s="14" t="s">
        <v>334</v>
      </c>
      <c r="R890" s="14"/>
      <c r="S890" s="14" t="s">
        <v>1291</v>
      </c>
      <c r="T890" s="14"/>
      <c r="U890" s="14"/>
      <c r="V890" s="14"/>
      <c r="W890" s="14"/>
      <c r="X890" s="14"/>
      <c r="Y890" s="14"/>
    </row>
    <row r="891" customFormat="false" ht="15" hidden="false" customHeight="false" outlineLevel="0" collapsed="false">
      <c r="Q891" s="14" t="s">
        <v>279</v>
      </c>
      <c r="R891" s="14" t="s">
        <v>326</v>
      </c>
      <c r="S891" s="36" t="s">
        <v>281</v>
      </c>
      <c r="T891" s="52" t="n">
        <v>20</v>
      </c>
      <c r="U891" s="36" t="s">
        <v>282</v>
      </c>
      <c r="V891" s="52" t="n">
        <f aca="false">T891</f>
        <v>20</v>
      </c>
      <c r="W891" s="14" t="s">
        <v>283</v>
      </c>
      <c r="Y891" s="36" t="s">
        <v>150</v>
      </c>
      <c r="Z891" s="53" t="n">
        <f aca="false">Z896+Z899</f>
        <v>16.4619</v>
      </c>
    </row>
    <row r="892" customFormat="false" ht="15" hidden="false" customHeight="false" outlineLevel="0" collapsed="false">
      <c r="Q892" s="14" t="s">
        <v>284</v>
      </c>
      <c r="R892" s="14" t="s">
        <v>285</v>
      </c>
      <c r="V892" s="36" t="s">
        <v>123</v>
      </c>
      <c r="W892" s="36" t="s">
        <v>286</v>
      </c>
      <c r="X892" s="36" t="s">
        <v>287</v>
      </c>
      <c r="Y892" s="36" t="s">
        <v>288</v>
      </c>
      <c r="Z892" s="36" t="s">
        <v>289</v>
      </c>
    </row>
    <row r="893" customFormat="false" ht="15" hidden="false" customHeight="false" outlineLevel="0" collapsed="false">
      <c r="R893" s="54" t="s">
        <v>290</v>
      </c>
    </row>
    <row r="894" customFormat="false" ht="15" hidden="false" customHeight="false" outlineLevel="0" collapsed="false">
      <c r="R894" s="1" t="s">
        <v>291</v>
      </c>
      <c r="V894" s="55" t="s">
        <v>292</v>
      </c>
      <c r="W894" s="56" t="n">
        <v>1</v>
      </c>
      <c r="X894" s="57" t="n">
        <f aca="false">W894*8/$T$891</f>
        <v>0.4</v>
      </c>
      <c r="Y894" s="28" t="n">
        <v>28.94</v>
      </c>
      <c r="Z894" s="28" t="n">
        <f aca="false">X894*Y894</f>
        <v>11.576</v>
      </c>
    </row>
    <row r="895" customFormat="false" ht="15" hidden="false" customHeight="false" outlineLevel="0" collapsed="false">
      <c r="R895" s="1" t="s">
        <v>294</v>
      </c>
      <c r="V895" s="55" t="s">
        <v>292</v>
      </c>
      <c r="W895" s="56" t="n">
        <v>0.5</v>
      </c>
      <c r="X895" s="57" t="n">
        <f aca="false">W895*8/$T$891</f>
        <v>0.2</v>
      </c>
      <c r="Y895" s="28" t="n">
        <v>20.51</v>
      </c>
      <c r="Z895" s="28" t="n">
        <f aca="false">X895*Y895</f>
        <v>4.102</v>
      </c>
    </row>
    <row r="896" customFormat="false" ht="15" hidden="false" customHeight="false" outlineLevel="0" collapsed="false">
      <c r="Z896" s="53" t="n">
        <f aca="false">SUM(Z894:Z895)</f>
        <v>15.678</v>
      </c>
    </row>
    <row r="897" customFormat="false" ht="15" hidden="false" customHeight="false" outlineLevel="0" collapsed="false">
      <c r="R897" s="54" t="s">
        <v>318</v>
      </c>
    </row>
    <row r="898" customFormat="false" ht="15" hidden="false" customHeight="false" outlineLevel="0" collapsed="false">
      <c r="R898" s="1" t="s">
        <v>311</v>
      </c>
      <c r="V898" s="55" t="s">
        <v>312</v>
      </c>
      <c r="X898" s="57" t="n">
        <v>5</v>
      </c>
      <c r="Y898" s="28" t="n">
        <f aca="false">Z896</f>
        <v>15.678</v>
      </c>
      <c r="Z898" s="28" t="n">
        <f aca="false">X898%*Y898</f>
        <v>0.7839</v>
      </c>
    </row>
    <row r="899" customFormat="false" ht="15" hidden="false" customHeight="false" outlineLevel="0" collapsed="false">
      <c r="Q899" s="60"/>
      <c r="R899" s="60"/>
      <c r="S899" s="60"/>
      <c r="T899" s="60"/>
      <c r="U899" s="60"/>
      <c r="V899" s="60"/>
      <c r="W899" s="60"/>
      <c r="X899" s="60"/>
      <c r="Y899" s="60"/>
      <c r="Z899" s="61" t="n">
        <f aca="false">SUM(Z898:Z898)</f>
        <v>0.7839</v>
      </c>
    </row>
    <row r="901" customFormat="false" ht="15" hidden="false" customHeight="false" outlineLevel="0" collapsed="false">
      <c r="Q901" s="14" t="s">
        <v>334</v>
      </c>
      <c r="R901" s="14"/>
      <c r="S901" s="14" t="s">
        <v>1292</v>
      </c>
      <c r="T901" s="14"/>
      <c r="U901" s="14"/>
      <c r="V901" s="14"/>
      <c r="W901" s="14"/>
      <c r="X901" s="14"/>
      <c r="Y901" s="14"/>
    </row>
    <row r="902" customFormat="false" ht="15" hidden="false" customHeight="false" outlineLevel="0" collapsed="false">
      <c r="Q902" s="14" t="s">
        <v>279</v>
      </c>
      <c r="R902" s="14" t="s">
        <v>326</v>
      </c>
      <c r="S902" s="36" t="s">
        <v>281</v>
      </c>
      <c r="T902" s="52" t="n">
        <v>20</v>
      </c>
      <c r="U902" s="36" t="s">
        <v>282</v>
      </c>
      <c r="V902" s="52" t="n">
        <f aca="false">T902</f>
        <v>20</v>
      </c>
      <c r="W902" s="14" t="s">
        <v>283</v>
      </c>
      <c r="Y902" s="36" t="s">
        <v>150</v>
      </c>
      <c r="Z902" s="53" t="n">
        <f aca="false">Z907+Z910</f>
        <v>16.4619</v>
      </c>
    </row>
    <row r="903" customFormat="false" ht="15" hidden="false" customHeight="false" outlineLevel="0" collapsed="false">
      <c r="Q903" s="14" t="s">
        <v>284</v>
      </c>
      <c r="R903" s="14" t="s">
        <v>285</v>
      </c>
      <c r="V903" s="36" t="s">
        <v>123</v>
      </c>
      <c r="W903" s="36" t="s">
        <v>286</v>
      </c>
      <c r="X903" s="36" t="s">
        <v>287</v>
      </c>
      <c r="Y903" s="36" t="s">
        <v>288</v>
      </c>
      <c r="Z903" s="36" t="s">
        <v>289</v>
      </c>
    </row>
    <row r="904" customFormat="false" ht="15" hidden="false" customHeight="false" outlineLevel="0" collapsed="false">
      <c r="R904" s="54" t="s">
        <v>290</v>
      </c>
    </row>
    <row r="905" customFormat="false" ht="15" hidden="false" customHeight="false" outlineLevel="0" collapsed="false">
      <c r="R905" s="1" t="s">
        <v>291</v>
      </c>
      <c r="V905" s="55" t="s">
        <v>292</v>
      </c>
      <c r="W905" s="56" t="n">
        <v>1</v>
      </c>
      <c r="X905" s="57" t="n">
        <f aca="false">W905*8/$T$902</f>
        <v>0.4</v>
      </c>
      <c r="Y905" s="28" t="n">
        <v>28.94</v>
      </c>
      <c r="Z905" s="28" t="n">
        <f aca="false">X905*Y905</f>
        <v>11.576</v>
      </c>
    </row>
    <row r="906" customFormat="false" ht="15" hidden="false" customHeight="false" outlineLevel="0" collapsed="false">
      <c r="R906" s="1" t="s">
        <v>294</v>
      </c>
      <c r="V906" s="55" t="s">
        <v>292</v>
      </c>
      <c r="W906" s="56" t="n">
        <v>0.5</v>
      </c>
      <c r="X906" s="57" t="n">
        <f aca="false">W906*8/$T$902</f>
        <v>0.2</v>
      </c>
      <c r="Y906" s="28" t="n">
        <v>20.51</v>
      </c>
      <c r="Z906" s="28" t="n">
        <f aca="false">X906*Y906</f>
        <v>4.102</v>
      </c>
    </row>
    <row r="907" customFormat="false" ht="15" hidden="false" customHeight="false" outlineLevel="0" collapsed="false">
      <c r="Z907" s="53" t="n">
        <f aca="false">SUM(Z905:Z906)</f>
        <v>15.678</v>
      </c>
    </row>
    <row r="908" customFormat="false" ht="15" hidden="false" customHeight="false" outlineLevel="0" collapsed="false">
      <c r="R908" s="54" t="s">
        <v>318</v>
      </c>
    </row>
    <row r="909" customFormat="false" ht="15" hidden="false" customHeight="false" outlineLevel="0" collapsed="false">
      <c r="R909" s="1" t="s">
        <v>311</v>
      </c>
      <c r="V909" s="55" t="s">
        <v>312</v>
      </c>
      <c r="X909" s="57" t="n">
        <v>5</v>
      </c>
      <c r="Y909" s="28" t="n">
        <f aca="false">Z907</f>
        <v>15.678</v>
      </c>
      <c r="Z909" s="28" t="n">
        <f aca="false">X909%*Y909</f>
        <v>0.7839</v>
      </c>
    </row>
    <row r="910" customFormat="false" ht="15" hidden="false" customHeight="false" outlineLevel="0" collapsed="false">
      <c r="Q910" s="60"/>
      <c r="R910" s="60"/>
      <c r="S910" s="60"/>
      <c r="T910" s="60"/>
      <c r="U910" s="60"/>
      <c r="V910" s="60"/>
      <c r="W910" s="60"/>
      <c r="X910" s="60"/>
      <c r="Y910" s="60"/>
      <c r="Z910" s="61" t="n">
        <f aca="false">SUM(Z909:Z909)</f>
        <v>0.7839</v>
      </c>
    </row>
    <row r="912" customFormat="false" ht="15" hidden="false" customHeight="false" outlineLevel="0" collapsed="false">
      <c r="Q912" s="14" t="s">
        <v>334</v>
      </c>
      <c r="R912" s="14"/>
      <c r="S912" s="14" t="s">
        <v>1293</v>
      </c>
      <c r="T912" s="14"/>
      <c r="U912" s="14"/>
      <c r="V912" s="14"/>
      <c r="W912" s="14"/>
      <c r="X912" s="14"/>
      <c r="Y912" s="14"/>
    </row>
    <row r="913" customFormat="false" ht="15" hidden="false" customHeight="false" outlineLevel="0" collapsed="false">
      <c r="Q913" s="14" t="s">
        <v>279</v>
      </c>
      <c r="R913" s="14" t="s">
        <v>417</v>
      </c>
      <c r="S913" s="36" t="s">
        <v>281</v>
      </c>
      <c r="T913" s="52" t="n">
        <v>75</v>
      </c>
      <c r="U913" s="36" t="s">
        <v>282</v>
      </c>
      <c r="V913" s="52" t="n">
        <f aca="false">T913</f>
        <v>75</v>
      </c>
      <c r="W913" s="14" t="s">
        <v>283</v>
      </c>
      <c r="Y913" s="36" t="s">
        <v>204</v>
      </c>
      <c r="Z913" s="53" t="n">
        <f aca="false">Z918+Z921+Z925</f>
        <v>31.9812733333333</v>
      </c>
    </row>
    <row r="914" customFormat="false" ht="15" hidden="false" customHeight="false" outlineLevel="0" collapsed="false">
      <c r="Q914" s="14" t="s">
        <v>284</v>
      </c>
      <c r="R914" s="14" t="s">
        <v>285</v>
      </c>
      <c r="V914" s="36" t="s">
        <v>123</v>
      </c>
      <c r="W914" s="36" t="s">
        <v>286</v>
      </c>
      <c r="X914" s="36" t="s">
        <v>287</v>
      </c>
      <c r="Y914" s="36" t="s">
        <v>288</v>
      </c>
      <c r="Z914" s="36" t="s">
        <v>289</v>
      </c>
    </row>
    <row r="915" customFormat="false" ht="15" hidden="false" customHeight="false" outlineLevel="0" collapsed="false">
      <c r="R915" s="54" t="s">
        <v>290</v>
      </c>
    </row>
    <row r="916" customFormat="false" ht="15" hidden="false" customHeight="false" outlineLevel="0" collapsed="false">
      <c r="R916" s="1" t="s">
        <v>1294</v>
      </c>
      <c r="V916" s="55" t="s">
        <v>292</v>
      </c>
      <c r="W916" s="56" t="n">
        <v>1</v>
      </c>
      <c r="X916" s="57" t="n">
        <f aca="false">W916*8/$T$913</f>
        <v>0.106666666666667</v>
      </c>
      <c r="Y916" s="28" t="n">
        <v>29.44</v>
      </c>
      <c r="Z916" s="28" t="n">
        <f aca="false">X916*Y916</f>
        <v>3.14026666666667</v>
      </c>
    </row>
    <row r="917" customFormat="false" ht="15" hidden="false" customHeight="false" outlineLevel="0" collapsed="false">
      <c r="R917" s="1" t="s">
        <v>294</v>
      </c>
      <c r="V917" s="55" t="s">
        <v>292</v>
      </c>
      <c r="W917" s="56" t="n">
        <v>0.5</v>
      </c>
      <c r="X917" s="57" t="n">
        <f aca="false">W917*8/$T$913</f>
        <v>0.0533333333333333</v>
      </c>
      <c r="Y917" s="28" t="n">
        <v>20.51</v>
      </c>
      <c r="Z917" s="28" t="n">
        <f aca="false">X917*Y917</f>
        <v>1.09386666666667</v>
      </c>
    </row>
    <row r="918" customFormat="false" ht="15" hidden="false" customHeight="false" outlineLevel="0" collapsed="false">
      <c r="Z918" s="53" t="n">
        <f aca="false">SUM(Z916:Z917)</f>
        <v>4.23413333333333</v>
      </c>
    </row>
    <row r="919" customFormat="false" ht="15" hidden="false" customHeight="false" outlineLevel="0" collapsed="false">
      <c r="R919" s="54" t="s">
        <v>295</v>
      </c>
    </row>
    <row r="920" customFormat="false" ht="15" hidden="false" customHeight="false" outlineLevel="0" collapsed="false">
      <c r="R920" s="1" t="s">
        <v>1295</v>
      </c>
      <c r="V920" s="55" t="s">
        <v>340</v>
      </c>
      <c r="X920" s="57" t="n">
        <v>0.15</v>
      </c>
      <c r="Y920" s="28" t="n">
        <v>14.83</v>
      </c>
      <c r="Z920" s="28" t="n">
        <f aca="false">X920*Y920</f>
        <v>2.2245</v>
      </c>
    </row>
    <row r="921" customFormat="false" ht="15" hidden="false" customHeight="false" outlineLevel="0" collapsed="false">
      <c r="V921" s="55"/>
      <c r="Z921" s="53" t="n">
        <f aca="false">SUM(Z920:Z920)</f>
        <v>2.2245</v>
      </c>
    </row>
    <row r="922" customFormat="false" ht="15" hidden="false" customHeight="false" outlineLevel="0" collapsed="false">
      <c r="R922" s="54" t="s">
        <v>318</v>
      </c>
    </row>
    <row r="923" customFormat="false" ht="15" hidden="false" customHeight="false" outlineLevel="0" collapsed="false">
      <c r="R923" s="1" t="s">
        <v>311</v>
      </c>
      <c r="V923" s="55" t="s">
        <v>312</v>
      </c>
      <c r="X923" s="57" t="n">
        <v>5</v>
      </c>
      <c r="Y923" s="28" t="n">
        <f aca="false">Z918</f>
        <v>4.23413333333333</v>
      </c>
      <c r="Z923" s="28" t="n">
        <f aca="false">X923%*Y923</f>
        <v>0.211706666666667</v>
      </c>
    </row>
    <row r="924" customFormat="false" ht="15" hidden="false" customHeight="false" outlineLevel="0" collapsed="false">
      <c r="R924" s="1" t="s">
        <v>1296</v>
      </c>
      <c r="V924" s="55" t="s">
        <v>338</v>
      </c>
      <c r="W924" s="56" t="n">
        <v>1</v>
      </c>
      <c r="X924" s="57" t="n">
        <f aca="false">W924*8/$T$913</f>
        <v>0.106666666666667</v>
      </c>
      <c r="Y924" s="28" t="n">
        <v>237.29</v>
      </c>
      <c r="Z924" s="28" t="n">
        <f aca="false">X924*Y924</f>
        <v>25.3109333333333</v>
      </c>
    </row>
    <row r="925" customFormat="false" ht="15" hidden="false" customHeight="false" outlineLevel="0" collapsed="false">
      <c r="Q925" s="60"/>
      <c r="R925" s="60"/>
      <c r="S925" s="60"/>
      <c r="T925" s="60"/>
      <c r="U925" s="60"/>
      <c r="V925" s="60"/>
      <c r="W925" s="60"/>
      <c r="X925" s="60"/>
      <c r="Y925" s="60"/>
      <c r="Z925" s="61" t="n">
        <f aca="false">SUM(Z923:Z924)</f>
        <v>25.52264</v>
      </c>
    </row>
    <row r="927" customFormat="false" ht="15" hidden="false" customHeight="false" outlineLevel="0" collapsed="false">
      <c r="Q927" s="14" t="s">
        <v>334</v>
      </c>
      <c r="R927" s="14"/>
      <c r="S927" s="14" t="s">
        <v>1297</v>
      </c>
      <c r="T927" s="14"/>
      <c r="U927" s="14"/>
      <c r="V927" s="14"/>
      <c r="W927" s="14"/>
      <c r="X927" s="14"/>
      <c r="Y927" s="14"/>
    </row>
    <row r="928" customFormat="false" ht="15" hidden="false" customHeight="false" outlineLevel="0" collapsed="false">
      <c r="Q928" s="14" t="s">
        <v>279</v>
      </c>
      <c r="R928" s="14" t="s">
        <v>417</v>
      </c>
      <c r="S928" s="36" t="s">
        <v>281</v>
      </c>
      <c r="T928" s="52" t="n">
        <v>75</v>
      </c>
      <c r="U928" s="36" t="s">
        <v>282</v>
      </c>
      <c r="V928" s="52" t="n">
        <f aca="false">T928</f>
        <v>75</v>
      </c>
      <c r="W928" s="14" t="s">
        <v>283</v>
      </c>
      <c r="Y928" s="36" t="s">
        <v>204</v>
      </c>
      <c r="Z928" s="53" t="n">
        <f aca="false">Z933+Z936+Z940</f>
        <v>22.0378066666667</v>
      </c>
    </row>
    <row r="929" customFormat="false" ht="15" hidden="false" customHeight="false" outlineLevel="0" collapsed="false">
      <c r="Q929" s="14" t="s">
        <v>284</v>
      </c>
      <c r="R929" s="14" t="s">
        <v>285</v>
      </c>
      <c r="V929" s="36" t="s">
        <v>123</v>
      </c>
      <c r="W929" s="36" t="s">
        <v>286</v>
      </c>
      <c r="X929" s="36" t="s">
        <v>287</v>
      </c>
      <c r="Y929" s="36" t="s">
        <v>288</v>
      </c>
      <c r="Z929" s="36" t="s">
        <v>289</v>
      </c>
    </row>
    <row r="930" customFormat="false" ht="15" hidden="false" customHeight="false" outlineLevel="0" collapsed="false">
      <c r="R930" s="54" t="s">
        <v>290</v>
      </c>
    </row>
    <row r="931" customFormat="false" ht="15" hidden="false" customHeight="false" outlineLevel="0" collapsed="false">
      <c r="R931" s="1" t="s">
        <v>1294</v>
      </c>
      <c r="V931" s="55" t="s">
        <v>292</v>
      </c>
      <c r="W931" s="56" t="n">
        <v>1</v>
      </c>
      <c r="X931" s="57" t="n">
        <f aca="false">W931*8/$T$928</f>
        <v>0.106666666666667</v>
      </c>
      <c r="Y931" s="28" t="n">
        <v>29.44</v>
      </c>
      <c r="Z931" s="28" t="n">
        <f aca="false">X931*Y931</f>
        <v>3.14026666666667</v>
      </c>
    </row>
    <row r="932" customFormat="false" ht="15" hidden="false" customHeight="false" outlineLevel="0" collapsed="false">
      <c r="R932" s="1" t="s">
        <v>294</v>
      </c>
      <c r="V932" s="55" t="s">
        <v>292</v>
      </c>
      <c r="W932" s="56" t="n">
        <v>0.5</v>
      </c>
      <c r="X932" s="57" t="n">
        <f aca="false">W932*8/$T$928</f>
        <v>0.0533333333333333</v>
      </c>
      <c r="Y932" s="28" t="n">
        <v>20.51</v>
      </c>
      <c r="Z932" s="28" t="n">
        <f aca="false">X932*Y932</f>
        <v>1.09386666666667</v>
      </c>
    </row>
    <row r="933" customFormat="false" ht="15" hidden="false" customHeight="false" outlineLevel="0" collapsed="false">
      <c r="Z933" s="53" t="n">
        <f aca="false">SUM(Z931:Z932)</f>
        <v>4.23413333333333</v>
      </c>
    </row>
    <row r="934" customFormat="false" ht="15" hidden="false" customHeight="false" outlineLevel="0" collapsed="false">
      <c r="R934" s="54" t="s">
        <v>295</v>
      </c>
    </row>
    <row r="935" customFormat="false" ht="15" hidden="false" customHeight="false" outlineLevel="0" collapsed="false">
      <c r="R935" s="1" t="s">
        <v>1295</v>
      </c>
      <c r="V935" s="55" t="s">
        <v>340</v>
      </c>
      <c r="X935" s="57" t="n">
        <v>0.15</v>
      </c>
      <c r="Y935" s="28" t="n">
        <v>14.83</v>
      </c>
      <c r="Z935" s="28" t="n">
        <f aca="false">X935*Y935</f>
        <v>2.2245</v>
      </c>
    </row>
    <row r="936" customFormat="false" ht="15" hidden="false" customHeight="false" outlineLevel="0" collapsed="false">
      <c r="V936" s="55"/>
      <c r="Z936" s="53" t="n">
        <f aca="false">SUM(Z935:Z935)</f>
        <v>2.2245</v>
      </c>
    </row>
    <row r="937" customFormat="false" ht="15" hidden="false" customHeight="false" outlineLevel="0" collapsed="false">
      <c r="R937" s="54" t="s">
        <v>318</v>
      </c>
    </row>
    <row r="938" customFormat="false" ht="15" hidden="false" customHeight="false" outlineLevel="0" collapsed="false">
      <c r="R938" s="1" t="s">
        <v>311</v>
      </c>
      <c r="V938" s="55" t="s">
        <v>312</v>
      </c>
      <c r="X938" s="57" t="n">
        <v>5</v>
      </c>
      <c r="Y938" s="28" t="n">
        <f aca="false">Z933</f>
        <v>4.23413333333333</v>
      </c>
      <c r="Z938" s="28" t="n">
        <f aca="false">X938%*Y938</f>
        <v>0.211706666666667</v>
      </c>
    </row>
    <row r="939" customFormat="false" ht="15" hidden="false" customHeight="false" outlineLevel="0" collapsed="false">
      <c r="R939" s="1" t="s">
        <v>1298</v>
      </c>
      <c r="V939" s="55" t="s">
        <v>338</v>
      </c>
      <c r="W939" s="56" t="n">
        <v>1</v>
      </c>
      <c r="X939" s="57" t="n">
        <f aca="false">W939*8/$T$928</f>
        <v>0.106666666666667</v>
      </c>
      <c r="Y939" s="28" t="n">
        <v>144.07</v>
      </c>
      <c r="Z939" s="28" t="n">
        <f aca="false">X939*Y939</f>
        <v>15.3674666666667</v>
      </c>
    </row>
    <row r="940" customFormat="false" ht="15" hidden="false" customHeight="false" outlineLevel="0" collapsed="false">
      <c r="Q940" s="60"/>
      <c r="R940" s="60"/>
      <c r="S940" s="60"/>
      <c r="T940" s="60"/>
      <c r="U940" s="60"/>
      <c r="V940" s="60"/>
      <c r="W940" s="60"/>
      <c r="X940" s="60"/>
      <c r="Y940" s="60"/>
      <c r="Z940" s="61" t="n">
        <f aca="false">SUM(Z938:Z939)</f>
        <v>15.5791733333333</v>
      </c>
    </row>
    <row r="942" customFormat="false" ht="15" hidden="false" customHeight="false" outlineLevel="0" collapsed="false">
      <c r="Q942" s="14" t="s">
        <v>334</v>
      </c>
      <c r="R942" s="14"/>
      <c r="S942" s="14" t="s">
        <v>1299</v>
      </c>
      <c r="T942" s="14"/>
      <c r="U942" s="14"/>
      <c r="V942" s="14"/>
      <c r="W942" s="14"/>
      <c r="X942" s="14"/>
      <c r="Y942" s="14"/>
    </row>
    <row r="943" customFormat="false" ht="15" hidden="false" customHeight="false" outlineLevel="0" collapsed="false">
      <c r="Q943" s="14" t="s">
        <v>279</v>
      </c>
      <c r="R943" s="14" t="s">
        <v>417</v>
      </c>
      <c r="S943" s="36" t="s">
        <v>281</v>
      </c>
      <c r="T943" s="52" t="n">
        <v>170</v>
      </c>
      <c r="U943" s="36" t="s">
        <v>282</v>
      </c>
      <c r="V943" s="52" t="n">
        <f aca="false">T943</f>
        <v>170</v>
      </c>
      <c r="W943" s="14" t="s">
        <v>283</v>
      </c>
      <c r="Y943" s="36" t="s">
        <v>204</v>
      </c>
      <c r="Z943" s="53" t="n">
        <f aca="false">Z948+Z951+Z955</f>
        <v>11.0274823529412</v>
      </c>
    </row>
    <row r="944" customFormat="false" ht="15" hidden="false" customHeight="false" outlineLevel="0" collapsed="false">
      <c r="Q944" s="14" t="s">
        <v>284</v>
      </c>
      <c r="R944" s="14" t="s">
        <v>285</v>
      </c>
      <c r="V944" s="36" t="s">
        <v>123</v>
      </c>
      <c r="W944" s="36" t="s">
        <v>286</v>
      </c>
      <c r="X944" s="36" t="s">
        <v>287</v>
      </c>
      <c r="Y944" s="36" t="s">
        <v>288</v>
      </c>
      <c r="Z944" s="36" t="s">
        <v>289</v>
      </c>
    </row>
    <row r="945" customFormat="false" ht="15" hidden="false" customHeight="false" outlineLevel="0" collapsed="false">
      <c r="R945" s="54" t="s">
        <v>290</v>
      </c>
    </row>
    <row r="946" customFormat="false" ht="15" hidden="false" customHeight="false" outlineLevel="0" collapsed="false">
      <c r="R946" s="1" t="s">
        <v>1294</v>
      </c>
      <c r="V946" s="55" t="s">
        <v>292</v>
      </c>
      <c r="W946" s="56" t="n">
        <v>1</v>
      </c>
      <c r="X946" s="57" t="n">
        <f aca="false">W946*8/$T$943</f>
        <v>0.0470588235294118</v>
      </c>
      <c r="Y946" s="28" t="n">
        <v>29.44</v>
      </c>
      <c r="Z946" s="28" t="n">
        <f aca="false">X946*Y946</f>
        <v>1.38541176470588</v>
      </c>
    </row>
    <row r="947" customFormat="false" ht="15" hidden="false" customHeight="false" outlineLevel="0" collapsed="false">
      <c r="R947" s="1" t="s">
        <v>294</v>
      </c>
      <c r="V947" s="55" t="s">
        <v>292</v>
      </c>
      <c r="W947" s="56" t="n">
        <v>1</v>
      </c>
      <c r="X947" s="57" t="n">
        <f aca="false">W947*8/$T$943</f>
        <v>0.0470588235294118</v>
      </c>
      <c r="Y947" s="28" t="n">
        <v>20.51</v>
      </c>
      <c r="Z947" s="28" t="n">
        <f aca="false">X947*Y947</f>
        <v>0.965176470588235</v>
      </c>
    </row>
    <row r="948" customFormat="false" ht="15" hidden="false" customHeight="false" outlineLevel="0" collapsed="false">
      <c r="Z948" s="53" t="n">
        <f aca="false">SUM(Z946:Z947)</f>
        <v>2.35058823529412</v>
      </c>
    </row>
    <row r="949" customFormat="false" ht="15" hidden="false" customHeight="false" outlineLevel="0" collapsed="false">
      <c r="R949" s="54" t="s">
        <v>295</v>
      </c>
    </row>
    <row r="950" customFormat="false" ht="15" hidden="false" customHeight="false" outlineLevel="0" collapsed="false">
      <c r="R950" s="1" t="s">
        <v>1295</v>
      </c>
      <c r="V950" s="55" t="s">
        <v>340</v>
      </c>
      <c r="X950" s="57" t="n">
        <v>0.12</v>
      </c>
      <c r="Y950" s="28" t="n">
        <v>14.83</v>
      </c>
      <c r="Z950" s="28" t="n">
        <f aca="false">X950*Y950</f>
        <v>1.7796</v>
      </c>
    </row>
    <row r="951" customFormat="false" ht="15" hidden="false" customHeight="false" outlineLevel="0" collapsed="false">
      <c r="V951" s="55"/>
      <c r="Z951" s="53" t="n">
        <f aca="false">SUM(Z950:Z950)</f>
        <v>1.7796</v>
      </c>
    </row>
    <row r="952" customFormat="false" ht="15" hidden="false" customHeight="false" outlineLevel="0" collapsed="false">
      <c r="R952" s="54" t="s">
        <v>318</v>
      </c>
    </row>
    <row r="953" customFormat="false" ht="15" hidden="false" customHeight="false" outlineLevel="0" collapsed="false">
      <c r="R953" s="1" t="s">
        <v>311</v>
      </c>
      <c r="V953" s="55" t="s">
        <v>312</v>
      </c>
      <c r="X953" s="57" t="n">
        <v>5</v>
      </c>
      <c r="Y953" s="28" t="n">
        <f aca="false">Z948</f>
        <v>2.35058823529412</v>
      </c>
      <c r="Z953" s="28" t="n">
        <f aca="false">X953%*Y953</f>
        <v>0.117529411764706</v>
      </c>
    </row>
    <row r="954" customFormat="false" ht="15" hidden="false" customHeight="false" outlineLevel="0" collapsed="false">
      <c r="R954" s="1" t="s">
        <v>1298</v>
      </c>
      <c r="V954" s="55" t="s">
        <v>338</v>
      </c>
      <c r="W954" s="56" t="n">
        <v>1</v>
      </c>
      <c r="X954" s="57" t="n">
        <f aca="false">W954*8/$T$943</f>
        <v>0.0470588235294118</v>
      </c>
      <c r="Y954" s="28" t="n">
        <v>144.07</v>
      </c>
      <c r="Z954" s="28" t="n">
        <f aca="false">X954*Y954</f>
        <v>6.77976470588235</v>
      </c>
    </row>
    <row r="955" customFormat="false" ht="15" hidden="false" customHeight="false" outlineLevel="0" collapsed="false">
      <c r="Q955" s="60"/>
      <c r="R955" s="60"/>
      <c r="S955" s="60"/>
      <c r="T955" s="60"/>
      <c r="U955" s="60"/>
      <c r="V955" s="60"/>
      <c r="W955" s="60"/>
      <c r="X955" s="60"/>
      <c r="Y955" s="60"/>
      <c r="Z955" s="61" t="n">
        <f aca="false">SUM(Z953:Z954)</f>
        <v>6.89729411764706</v>
      </c>
    </row>
    <row r="957" customFormat="false" ht="15" hidden="false" customHeight="false" outlineLevel="0" collapsed="false">
      <c r="Q957" s="14" t="s">
        <v>334</v>
      </c>
      <c r="R957" s="14"/>
      <c r="S957" s="14" t="s">
        <v>1300</v>
      </c>
      <c r="T957" s="14"/>
      <c r="U957" s="14"/>
      <c r="V957" s="14"/>
      <c r="W957" s="14"/>
      <c r="X957" s="14"/>
      <c r="Y957" s="14"/>
    </row>
    <row r="958" customFormat="false" ht="15" hidden="false" customHeight="false" outlineLevel="0" collapsed="false">
      <c r="Q958" s="14" t="s">
        <v>279</v>
      </c>
      <c r="R958" s="14" t="s">
        <v>417</v>
      </c>
      <c r="S958" s="36" t="s">
        <v>281</v>
      </c>
      <c r="T958" s="52" t="n">
        <v>60</v>
      </c>
      <c r="U958" s="36" t="s">
        <v>282</v>
      </c>
      <c r="V958" s="52" t="n">
        <f aca="false">T958</f>
        <v>60</v>
      </c>
      <c r="W958" s="14" t="s">
        <v>283</v>
      </c>
      <c r="Y958" s="36" t="s">
        <v>204</v>
      </c>
      <c r="Z958" s="53" t="n">
        <f aca="false">Z963+Z966+Z971</f>
        <v>35.4033</v>
      </c>
    </row>
    <row r="959" customFormat="false" ht="15" hidden="false" customHeight="false" outlineLevel="0" collapsed="false">
      <c r="Q959" s="14" t="s">
        <v>284</v>
      </c>
      <c r="R959" s="14" t="s">
        <v>285</v>
      </c>
      <c r="V959" s="36" t="s">
        <v>123</v>
      </c>
      <c r="W959" s="36" t="s">
        <v>286</v>
      </c>
      <c r="X959" s="36" t="s">
        <v>287</v>
      </c>
      <c r="Y959" s="36" t="s">
        <v>288</v>
      </c>
      <c r="Z959" s="36" t="s">
        <v>289</v>
      </c>
    </row>
    <row r="960" customFormat="false" ht="15" hidden="false" customHeight="false" outlineLevel="0" collapsed="false">
      <c r="R960" s="54" t="s">
        <v>290</v>
      </c>
    </row>
    <row r="961" customFormat="false" ht="15" hidden="false" customHeight="false" outlineLevel="0" collapsed="false">
      <c r="R961" s="1" t="s">
        <v>1294</v>
      </c>
      <c r="V961" s="55" t="s">
        <v>292</v>
      </c>
      <c r="W961" s="56" t="n">
        <v>1</v>
      </c>
      <c r="X961" s="57" t="n">
        <f aca="false">W961*8/$T$958</f>
        <v>0.133333333333333</v>
      </c>
      <c r="Y961" s="28" t="n">
        <v>29.44</v>
      </c>
      <c r="Z961" s="28" t="n">
        <f aca="false">X961*Y961</f>
        <v>3.92533333333333</v>
      </c>
    </row>
    <row r="962" customFormat="false" ht="15" hidden="false" customHeight="false" outlineLevel="0" collapsed="false">
      <c r="R962" s="1" t="s">
        <v>294</v>
      </c>
      <c r="V962" s="55" t="s">
        <v>292</v>
      </c>
      <c r="W962" s="56" t="n">
        <v>0.5</v>
      </c>
      <c r="X962" s="57" t="n">
        <f aca="false">W962*8/$T$958</f>
        <v>0.0666666666666667</v>
      </c>
      <c r="Y962" s="28" t="n">
        <v>20.51</v>
      </c>
      <c r="Z962" s="28" t="n">
        <f aca="false">X962*Y962</f>
        <v>1.36733333333333</v>
      </c>
    </row>
    <row r="963" customFormat="false" ht="15" hidden="false" customHeight="false" outlineLevel="0" collapsed="false">
      <c r="Z963" s="53" t="n">
        <f aca="false">SUM(Z961:Z962)</f>
        <v>5.29266666666667</v>
      </c>
    </row>
    <row r="964" customFormat="false" ht="15" hidden="false" customHeight="false" outlineLevel="0" collapsed="false">
      <c r="R964" s="54" t="s">
        <v>295</v>
      </c>
    </row>
    <row r="965" customFormat="false" ht="15" hidden="false" customHeight="false" outlineLevel="0" collapsed="false">
      <c r="R965" s="1" t="s">
        <v>1295</v>
      </c>
      <c r="V965" s="55" t="s">
        <v>340</v>
      </c>
      <c r="X965" s="57" t="n">
        <v>0.3</v>
      </c>
      <c r="Y965" s="28" t="n">
        <v>14.83</v>
      </c>
      <c r="Z965" s="28" t="n">
        <f aca="false">X965*Y965</f>
        <v>4.449</v>
      </c>
    </row>
    <row r="966" customFormat="false" ht="15" hidden="false" customHeight="false" outlineLevel="0" collapsed="false">
      <c r="V966" s="55"/>
      <c r="Z966" s="53" t="n">
        <f aca="false">SUM(Z965:Z965)</f>
        <v>4.449</v>
      </c>
    </row>
    <row r="967" customFormat="false" ht="15" hidden="false" customHeight="false" outlineLevel="0" collapsed="false">
      <c r="R967" s="54" t="s">
        <v>318</v>
      </c>
    </row>
    <row r="968" customFormat="false" ht="15" hidden="false" customHeight="false" outlineLevel="0" collapsed="false">
      <c r="R968" s="1" t="s">
        <v>311</v>
      </c>
      <c r="V968" s="55" t="s">
        <v>312</v>
      </c>
      <c r="X968" s="57" t="n">
        <v>5</v>
      </c>
      <c r="Y968" s="28" t="n">
        <f aca="false">Z963</f>
        <v>5.29266666666667</v>
      </c>
      <c r="Z968" s="28" t="n">
        <f aca="false">X968%*Y968</f>
        <v>0.264633333333333</v>
      </c>
    </row>
    <row r="969" customFormat="false" ht="15" hidden="false" customHeight="false" outlineLevel="0" collapsed="false">
      <c r="R969" s="1" t="s">
        <v>1296</v>
      </c>
      <c r="V969" s="55" t="s">
        <v>338</v>
      </c>
      <c r="W969" s="56" t="n">
        <v>0.25</v>
      </c>
      <c r="X969" s="57" t="n">
        <f aca="false">W969*8/$T$958</f>
        <v>0.0333333333333333</v>
      </c>
      <c r="Y969" s="28" t="n">
        <v>237.29</v>
      </c>
      <c r="Z969" s="28" t="n">
        <f aca="false">X969*Y969</f>
        <v>7.90966666666667</v>
      </c>
    </row>
    <row r="970" customFormat="false" ht="15" hidden="false" customHeight="false" outlineLevel="0" collapsed="false">
      <c r="R970" s="1" t="s">
        <v>1301</v>
      </c>
      <c r="V970" s="55" t="s">
        <v>338</v>
      </c>
      <c r="W970" s="56" t="n">
        <v>0.5</v>
      </c>
      <c r="X970" s="57" t="n">
        <f aca="false">W970*8/$T$958</f>
        <v>0.0666666666666667</v>
      </c>
      <c r="Y970" s="28" t="n">
        <v>262.31</v>
      </c>
      <c r="Z970" s="28" t="n">
        <f aca="false">X970*Y970</f>
        <v>17.4873333333333</v>
      </c>
    </row>
    <row r="971" customFormat="false" ht="15" hidden="false" customHeight="false" outlineLevel="0" collapsed="false">
      <c r="Q971" s="60"/>
      <c r="R971" s="60"/>
      <c r="S971" s="60"/>
      <c r="T971" s="60"/>
      <c r="U971" s="60"/>
      <c r="V971" s="60"/>
      <c r="W971" s="60"/>
      <c r="X971" s="60"/>
      <c r="Y971" s="60"/>
      <c r="Z971" s="61" t="n">
        <f aca="false">SUM(Z968:Z970)</f>
        <v>25.6616333333333</v>
      </c>
    </row>
    <row r="973" customFormat="false" ht="15" hidden="false" customHeight="false" outlineLevel="0" collapsed="false">
      <c r="Q973" s="14" t="s">
        <v>334</v>
      </c>
      <c r="R973" s="14"/>
      <c r="S973" s="14" t="s">
        <v>1302</v>
      </c>
      <c r="T973" s="14"/>
      <c r="U973" s="14"/>
      <c r="V973" s="14"/>
      <c r="W973" s="14"/>
      <c r="X973" s="14"/>
      <c r="Y973" s="14"/>
    </row>
    <row r="974" customFormat="false" ht="15" hidden="false" customHeight="false" outlineLevel="0" collapsed="false">
      <c r="Q974" s="14" t="s">
        <v>279</v>
      </c>
      <c r="R974" s="14" t="s">
        <v>417</v>
      </c>
      <c r="S974" s="36" t="s">
        <v>281</v>
      </c>
      <c r="T974" s="52" t="n">
        <v>120</v>
      </c>
      <c r="U974" s="36" t="s">
        <v>282</v>
      </c>
      <c r="V974" s="52" t="n">
        <f aca="false">T974</f>
        <v>120</v>
      </c>
      <c r="W974" s="14" t="s">
        <v>283</v>
      </c>
      <c r="Y974" s="36" t="s">
        <v>204</v>
      </c>
      <c r="Z974" s="53" t="n">
        <f aca="false">Z979+Z982+Z986</f>
        <v>22.6448166666667</v>
      </c>
    </row>
    <row r="975" customFormat="false" ht="15" hidden="false" customHeight="false" outlineLevel="0" collapsed="false">
      <c r="Q975" s="14" t="s">
        <v>284</v>
      </c>
      <c r="R975" s="14" t="s">
        <v>285</v>
      </c>
      <c r="V975" s="36" t="s">
        <v>123</v>
      </c>
      <c r="W975" s="36" t="s">
        <v>286</v>
      </c>
      <c r="X975" s="36" t="s">
        <v>287</v>
      </c>
      <c r="Y975" s="36" t="s">
        <v>288</v>
      </c>
      <c r="Z975" s="36" t="s">
        <v>289</v>
      </c>
    </row>
    <row r="976" customFormat="false" ht="15" hidden="false" customHeight="false" outlineLevel="0" collapsed="false">
      <c r="R976" s="54" t="s">
        <v>290</v>
      </c>
    </row>
    <row r="977" customFormat="false" ht="15" hidden="false" customHeight="false" outlineLevel="0" collapsed="false">
      <c r="R977" s="1" t="s">
        <v>1294</v>
      </c>
      <c r="V977" s="55" t="s">
        <v>292</v>
      </c>
      <c r="W977" s="56" t="n">
        <v>1</v>
      </c>
      <c r="X977" s="57" t="n">
        <f aca="false">W977*8/$T$974</f>
        <v>0.0666666666666667</v>
      </c>
      <c r="Y977" s="28" t="n">
        <v>29.44</v>
      </c>
      <c r="Z977" s="28" t="n">
        <f aca="false">X977*Y977</f>
        <v>1.96266666666667</v>
      </c>
    </row>
    <row r="978" customFormat="false" ht="15" hidden="false" customHeight="false" outlineLevel="0" collapsed="false">
      <c r="R978" s="1" t="s">
        <v>294</v>
      </c>
      <c r="V978" s="55" t="s">
        <v>292</v>
      </c>
      <c r="W978" s="56" t="n">
        <v>0.5</v>
      </c>
      <c r="X978" s="57" t="n">
        <f aca="false">W978*8/$T$974</f>
        <v>0.0333333333333333</v>
      </c>
      <c r="Y978" s="28" t="n">
        <v>20.51</v>
      </c>
      <c r="Z978" s="28" t="n">
        <f aca="false">X978*Y978</f>
        <v>0.683666666666667</v>
      </c>
    </row>
    <row r="979" customFormat="false" ht="15" hidden="false" customHeight="false" outlineLevel="0" collapsed="false">
      <c r="Z979" s="53" t="n">
        <f aca="false">SUM(Z977:Z978)</f>
        <v>2.64633333333333</v>
      </c>
    </row>
    <row r="980" customFormat="false" ht="15" hidden="false" customHeight="false" outlineLevel="0" collapsed="false">
      <c r="R980" s="54" t="s">
        <v>295</v>
      </c>
    </row>
    <row r="981" customFormat="false" ht="15" hidden="false" customHeight="false" outlineLevel="0" collapsed="false">
      <c r="R981" s="1" t="s">
        <v>1295</v>
      </c>
      <c r="V981" s="55" t="s">
        <v>340</v>
      </c>
      <c r="X981" s="57" t="n">
        <v>0.75</v>
      </c>
      <c r="Y981" s="28" t="n">
        <v>14.83</v>
      </c>
      <c r="Z981" s="28" t="n">
        <f aca="false">X981*Y981</f>
        <v>11.1225</v>
      </c>
    </row>
    <row r="982" customFormat="false" ht="15" hidden="false" customHeight="false" outlineLevel="0" collapsed="false">
      <c r="V982" s="55"/>
      <c r="Z982" s="53" t="n">
        <f aca="false">SUM(Z981:Z981)</f>
        <v>11.1225</v>
      </c>
    </row>
    <row r="983" customFormat="false" ht="15" hidden="false" customHeight="false" outlineLevel="0" collapsed="false">
      <c r="R983" s="54" t="s">
        <v>318</v>
      </c>
    </row>
    <row r="984" customFormat="false" ht="15" hidden="false" customHeight="false" outlineLevel="0" collapsed="false">
      <c r="R984" s="1" t="s">
        <v>311</v>
      </c>
      <c r="V984" s="55" t="s">
        <v>312</v>
      </c>
      <c r="X984" s="57" t="n">
        <v>5</v>
      </c>
      <c r="Y984" s="28" t="n">
        <f aca="false">Z979</f>
        <v>2.64633333333333</v>
      </c>
      <c r="Z984" s="28" t="n">
        <f aca="false">X984%*Y984</f>
        <v>0.132316666666667</v>
      </c>
    </row>
    <row r="985" customFormat="false" ht="15" hidden="false" customHeight="false" outlineLevel="0" collapsed="false">
      <c r="R985" s="1" t="s">
        <v>1301</v>
      </c>
      <c r="V985" s="55" t="s">
        <v>338</v>
      </c>
      <c r="W985" s="56" t="n">
        <v>0.5</v>
      </c>
      <c r="X985" s="57" t="n">
        <f aca="false">W985*8/$T$974</f>
        <v>0.0333333333333333</v>
      </c>
      <c r="Y985" s="28" t="n">
        <v>262.31</v>
      </c>
      <c r="Z985" s="28" t="n">
        <f aca="false">X985*Y985</f>
        <v>8.74366666666667</v>
      </c>
    </row>
    <row r="986" customFormat="false" ht="15" hidden="false" customHeight="false" outlineLevel="0" collapsed="false">
      <c r="Q986" s="60"/>
      <c r="R986" s="60"/>
      <c r="S986" s="60"/>
      <c r="T986" s="60"/>
      <c r="U986" s="60"/>
      <c r="V986" s="60"/>
      <c r="W986" s="60"/>
      <c r="X986" s="60"/>
      <c r="Y986" s="60"/>
      <c r="Z986" s="61" t="n">
        <f aca="false">SUM(Z984:Z985)</f>
        <v>8.87598333333333</v>
      </c>
    </row>
    <row r="988" customFormat="false" ht="15" hidden="false" customHeight="false" outlineLevel="0" collapsed="false">
      <c r="Q988" s="14" t="s">
        <v>334</v>
      </c>
      <c r="R988" s="14"/>
      <c r="S988" s="14" t="s">
        <v>1303</v>
      </c>
      <c r="T988" s="14"/>
      <c r="U988" s="14"/>
      <c r="V988" s="14"/>
      <c r="W988" s="14"/>
      <c r="X988" s="14"/>
      <c r="Y988" s="14"/>
    </row>
    <row r="989" customFormat="false" ht="15" hidden="false" customHeight="false" outlineLevel="0" collapsed="false">
      <c r="Q989" s="14" t="s">
        <v>279</v>
      </c>
      <c r="R989" s="14" t="s">
        <v>417</v>
      </c>
      <c r="S989" s="36" t="s">
        <v>281</v>
      </c>
      <c r="T989" s="52" t="n">
        <v>120</v>
      </c>
      <c r="U989" s="36" t="s">
        <v>282</v>
      </c>
      <c r="V989" s="52" t="n">
        <f aca="false">T989</f>
        <v>120</v>
      </c>
      <c r="W989" s="14" t="s">
        <v>283</v>
      </c>
      <c r="Y989" s="36" t="s">
        <v>204</v>
      </c>
      <c r="Z989" s="53" t="n">
        <f aca="false">Z994+Z997+Z1001</f>
        <v>22.6448166666667</v>
      </c>
    </row>
    <row r="990" customFormat="false" ht="15" hidden="false" customHeight="false" outlineLevel="0" collapsed="false">
      <c r="Q990" s="14" t="s">
        <v>284</v>
      </c>
      <c r="R990" s="14" t="s">
        <v>285</v>
      </c>
      <c r="V990" s="36" t="s">
        <v>123</v>
      </c>
      <c r="W990" s="36" t="s">
        <v>286</v>
      </c>
      <c r="X990" s="36" t="s">
        <v>287</v>
      </c>
      <c r="Y990" s="36" t="s">
        <v>288</v>
      </c>
      <c r="Z990" s="36" t="s">
        <v>289</v>
      </c>
    </row>
    <row r="991" customFormat="false" ht="15" hidden="false" customHeight="false" outlineLevel="0" collapsed="false">
      <c r="R991" s="54" t="s">
        <v>290</v>
      </c>
    </row>
    <row r="992" customFormat="false" ht="15" hidden="false" customHeight="false" outlineLevel="0" collapsed="false">
      <c r="R992" s="1" t="s">
        <v>1294</v>
      </c>
      <c r="V992" s="55" t="s">
        <v>292</v>
      </c>
      <c r="W992" s="56" t="n">
        <v>1</v>
      </c>
      <c r="X992" s="57" t="n">
        <f aca="false">W992*8/$T$989</f>
        <v>0.0666666666666667</v>
      </c>
      <c r="Y992" s="28" t="n">
        <v>29.44</v>
      </c>
      <c r="Z992" s="28" t="n">
        <f aca="false">X992*Y992</f>
        <v>1.96266666666667</v>
      </c>
    </row>
    <row r="993" customFormat="false" ht="15" hidden="false" customHeight="false" outlineLevel="0" collapsed="false">
      <c r="R993" s="1" t="s">
        <v>294</v>
      </c>
      <c r="V993" s="55" t="s">
        <v>292</v>
      </c>
      <c r="W993" s="56" t="n">
        <v>0.5</v>
      </c>
      <c r="X993" s="57" t="n">
        <f aca="false">W993*8/$T$989</f>
        <v>0.0333333333333333</v>
      </c>
      <c r="Y993" s="28" t="n">
        <v>20.51</v>
      </c>
      <c r="Z993" s="28" t="n">
        <f aca="false">X993*Y993</f>
        <v>0.683666666666667</v>
      </c>
    </row>
    <row r="994" customFormat="false" ht="15" hidden="false" customHeight="false" outlineLevel="0" collapsed="false">
      <c r="Z994" s="53" t="n">
        <f aca="false">SUM(Z992:Z993)</f>
        <v>2.64633333333333</v>
      </c>
    </row>
    <row r="995" customFormat="false" ht="15" hidden="false" customHeight="false" outlineLevel="0" collapsed="false">
      <c r="R995" s="54" t="s">
        <v>295</v>
      </c>
    </row>
    <row r="996" customFormat="false" ht="15" hidden="false" customHeight="false" outlineLevel="0" collapsed="false">
      <c r="R996" s="1" t="s">
        <v>1295</v>
      </c>
      <c r="V996" s="55" t="s">
        <v>340</v>
      </c>
      <c r="X996" s="57" t="n">
        <v>0.75</v>
      </c>
      <c r="Y996" s="28" t="n">
        <v>14.83</v>
      </c>
      <c r="Z996" s="28" t="n">
        <f aca="false">X996*Y996</f>
        <v>11.1225</v>
      </c>
    </row>
    <row r="997" customFormat="false" ht="15" hidden="false" customHeight="false" outlineLevel="0" collapsed="false">
      <c r="V997" s="55"/>
      <c r="Z997" s="53" t="n">
        <f aca="false">SUM(Z996:Z996)</f>
        <v>11.1225</v>
      </c>
    </row>
    <row r="998" customFormat="false" ht="15" hidden="false" customHeight="false" outlineLevel="0" collapsed="false">
      <c r="R998" s="54" t="s">
        <v>318</v>
      </c>
    </row>
    <row r="999" customFormat="false" ht="15" hidden="false" customHeight="false" outlineLevel="0" collapsed="false">
      <c r="R999" s="1" t="s">
        <v>311</v>
      </c>
      <c r="V999" s="55" t="s">
        <v>312</v>
      </c>
      <c r="X999" s="57" t="n">
        <v>5</v>
      </c>
      <c r="Y999" s="28" t="n">
        <f aca="false">Z994</f>
        <v>2.64633333333333</v>
      </c>
      <c r="Z999" s="28" t="n">
        <f aca="false">X999%*Y999</f>
        <v>0.132316666666667</v>
      </c>
    </row>
    <row r="1000" customFormat="false" ht="15" hidden="false" customHeight="false" outlineLevel="0" collapsed="false">
      <c r="R1000" s="1" t="s">
        <v>1301</v>
      </c>
      <c r="V1000" s="55" t="s">
        <v>338</v>
      </c>
      <c r="W1000" s="56" t="n">
        <v>0.5</v>
      </c>
      <c r="X1000" s="57" t="n">
        <f aca="false">W1000*8/$T$989</f>
        <v>0.0333333333333333</v>
      </c>
      <c r="Y1000" s="28" t="n">
        <v>262.31</v>
      </c>
      <c r="Z1000" s="28" t="n">
        <f aca="false">X1000*Y1000</f>
        <v>8.74366666666667</v>
      </c>
    </row>
    <row r="1001" customFormat="false" ht="15" hidden="false" customHeight="false" outlineLevel="0" collapsed="false">
      <c r="Q1001" s="60"/>
      <c r="R1001" s="60"/>
      <c r="S1001" s="60"/>
      <c r="T1001" s="60"/>
      <c r="U1001" s="60"/>
      <c r="V1001" s="60"/>
      <c r="W1001" s="60"/>
      <c r="X1001" s="60"/>
      <c r="Y1001" s="60"/>
      <c r="Z1001" s="61" t="n">
        <f aca="false">SUM(Z999:Z1000)</f>
        <v>8.87598333333333</v>
      </c>
    </row>
    <row r="1003" customFormat="false" ht="15" hidden="false" customHeight="false" outlineLevel="0" collapsed="false">
      <c r="Q1003" s="14" t="s">
        <v>334</v>
      </c>
      <c r="R1003" s="14"/>
      <c r="S1003" s="14" t="s">
        <v>1304</v>
      </c>
      <c r="T1003" s="14"/>
      <c r="U1003" s="14"/>
      <c r="V1003" s="14"/>
      <c r="W1003" s="14"/>
      <c r="X1003" s="14"/>
      <c r="Y1003" s="14"/>
    </row>
    <row r="1004" customFormat="false" ht="15" hidden="false" customHeight="false" outlineLevel="0" collapsed="false">
      <c r="Q1004" s="14" t="s">
        <v>279</v>
      </c>
      <c r="R1004" s="14" t="s">
        <v>417</v>
      </c>
      <c r="S1004" s="36" t="s">
        <v>281</v>
      </c>
      <c r="T1004" s="52" t="n">
        <v>170</v>
      </c>
      <c r="U1004" s="36" t="s">
        <v>282</v>
      </c>
      <c r="V1004" s="52" t="n">
        <f aca="false">T1004</f>
        <v>170</v>
      </c>
      <c r="W1004" s="14" t="s">
        <v>283</v>
      </c>
      <c r="Y1004" s="36" t="s">
        <v>204</v>
      </c>
      <c r="Z1004" s="53" t="n">
        <f aca="false">Z1009+Z1012+Z1018</f>
        <v>23.5702411764706</v>
      </c>
    </row>
    <row r="1005" customFormat="false" ht="15" hidden="false" customHeight="false" outlineLevel="0" collapsed="false">
      <c r="Q1005" s="14" t="s">
        <v>284</v>
      </c>
      <c r="R1005" s="14" t="s">
        <v>285</v>
      </c>
      <c r="V1005" s="36" t="s">
        <v>123</v>
      </c>
      <c r="W1005" s="36" t="s">
        <v>286</v>
      </c>
      <c r="X1005" s="36" t="s">
        <v>287</v>
      </c>
      <c r="Y1005" s="36" t="s">
        <v>288</v>
      </c>
      <c r="Z1005" s="36" t="s">
        <v>289</v>
      </c>
    </row>
    <row r="1006" customFormat="false" ht="15" hidden="false" customHeight="false" outlineLevel="0" collapsed="false">
      <c r="R1006" s="54" t="s">
        <v>290</v>
      </c>
    </row>
    <row r="1007" customFormat="false" ht="15" hidden="false" customHeight="false" outlineLevel="0" collapsed="false">
      <c r="R1007" s="1" t="s">
        <v>1294</v>
      </c>
      <c r="V1007" s="55" t="s">
        <v>292</v>
      </c>
      <c r="W1007" s="56" t="n">
        <v>2</v>
      </c>
      <c r="X1007" s="57" t="n">
        <f aca="false">W1007*8/$T$1004</f>
        <v>0.0941176470588235</v>
      </c>
      <c r="Y1007" s="28" t="n">
        <v>29.44</v>
      </c>
      <c r="Z1007" s="28" t="n">
        <f aca="false">X1007*Y1007</f>
        <v>2.77082352941176</v>
      </c>
    </row>
    <row r="1008" customFormat="false" ht="15" hidden="false" customHeight="false" outlineLevel="0" collapsed="false">
      <c r="R1008" s="1" t="s">
        <v>294</v>
      </c>
      <c r="V1008" s="55" t="s">
        <v>292</v>
      </c>
      <c r="W1008" s="56" t="n">
        <v>1</v>
      </c>
      <c r="X1008" s="57" t="n">
        <f aca="false">W1008*8/$T$1004</f>
        <v>0.0470588235294118</v>
      </c>
      <c r="Y1008" s="28" t="n">
        <v>20.51</v>
      </c>
      <c r="Z1008" s="28" t="n">
        <f aca="false">X1008*Y1008</f>
        <v>0.965176470588235</v>
      </c>
    </row>
    <row r="1009" customFormat="false" ht="15" hidden="false" customHeight="false" outlineLevel="0" collapsed="false">
      <c r="Z1009" s="53" t="n">
        <f aca="false">SUM(Z1007:Z1008)</f>
        <v>3.736</v>
      </c>
    </row>
    <row r="1010" customFormat="false" ht="15" hidden="false" customHeight="false" outlineLevel="0" collapsed="false">
      <c r="R1010" s="54" t="s">
        <v>295</v>
      </c>
    </row>
    <row r="1011" customFormat="false" ht="15" hidden="false" customHeight="false" outlineLevel="0" collapsed="false">
      <c r="R1011" s="1" t="s">
        <v>1295</v>
      </c>
      <c r="V1011" s="55" t="s">
        <v>340</v>
      </c>
      <c r="X1011" s="57" t="n">
        <v>0.75</v>
      </c>
      <c r="Y1011" s="28" t="n">
        <v>14.83</v>
      </c>
      <c r="Z1011" s="28" t="n">
        <f aca="false">X1011*Y1011</f>
        <v>11.1225</v>
      </c>
    </row>
    <row r="1012" customFormat="false" ht="15" hidden="false" customHeight="false" outlineLevel="0" collapsed="false">
      <c r="V1012" s="55"/>
      <c r="Z1012" s="53" t="n">
        <f aca="false">SUM(Z1011:Z1011)</f>
        <v>11.1225</v>
      </c>
    </row>
    <row r="1013" customFormat="false" ht="15" hidden="false" customHeight="false" outlineLevel="0" collapsed="false">
      <c r="R1013" s="54" t="s">
        <v>318</v>
      </c>
    </row>
    <row r="1014" customFormat="false" ht="15" hidden="false" customHeight="false" outlineLevel="0" collapsed="false">
      <c r="R1014" s="1" t="s">
        <v>311</v>
      </c>
      <c r="V1014" s="55" t="s">
        <v>312</v>
      </c>
      <c r="X1014" s="57" t="n">
        <v>5</v>
      </c>
      <c r="Y1014" s="28" t="n">
        <f aca="false">Z1009</f>
        <v>3.736</v>
      </c>
      <c r="Z1014" s="28" t="n">
        <f aca="false">X1014%*Y1014</f>
        <v>0.1868</v>
      </c>
    </row>
    <row r="1015" customFormat="false" ht="15" hidden="false" customHeight="false" outlineLevel="0" collapsed="false">
      <c r="R1015" s="1" t="s">
        <v>1305</v>
      </c>
      <c r="V1015" s="55" t="s">
        <v>338</v>
      </c>
      <c r="W1015" s="56" t="n">
        <v>1</v>
      </c>
      <c r="X1015" s="57" t="n">
        <f aca="false">W1015*8/$T$1004</f>
        <v>0.0470588235294118</v>
      </c>
      <c r="Y1015" s="28" t="n">
        <v>25</v>
      </c>
      <c r="Z1015" s="28" t="n">
        <f aca="false">X1015*Y1015</f>
        <v>1.17647058823529</v>
      </c>
    </row>
    <row r="1016" customFormat="false" ht="15" hidden="false" customHeight="false" outlineLevel="0" collapsed="false">
      <c r="R1016" s="1" t="s">
        <v>1301</v>
      </c>
      <c r="V1016" s="55" t="s">
        <v>338</v>
      </c>
      <c r="W1016" s="56" t="n">
        <v>0.5</v>
      </c>
      <c r="X1016" s="57" t="n">
        <f aca="false">W1016*8/$T$1004</f>
        <v>0.0235294117647059</v>
      </c>
      <c r="Y1016" s="28" t="n">
        <v>262.31</v>
      </c>
      <c r="Z1016" s="28" t="n">
        <f aca="false">X1016*Y1016</f>
        <v>6.172</v>
      </c>
    </row>
    <row r="1017" customFormat="false" ht="15" hidden="false" customHeight="false" outlineLevel="0" collapsed="false">
      <c r="R1017" s="1" t="s">
        <v>1306</v>
      </c>
      <c r="V1017" s="55" t="s">
        <v>338</v>
      </c>
      <c r="W1017" s="56" t="n">
        <v>1</v>
      </c>
      <c r="X1017" s="57" t="n">
        <f aca="false">W1017*8/$T$1004</f>
        <v>0.0470588235294118</v>
      </c>
      <c r="Y1017" s="28" t="n">
        <v>25</v>
      </c>
      <c r="Z1017" s="28" t="n">
        <f aca="false">X1017*Y1017</f>
        <v>1.17647058823529</v>
      </c>
    </row>
    <row r="1018" customFormat="false" ht="15" hidden="false" customHeight="false" outlineLevel="0" collapsed="false">
      <c r="Q1018" s="60"/>
      <c r="R1018" s="60"/>
      <c r="S1018" s="60"/>
      <c r="T1018" s="60"/>
      <c r="U1018" s="60"/>
      <c r="V1018" s="60"/>
      <c r="W1018" s="60"/>
      <c r="X1018" s="60"/>
      <c r="Y1018" s="60"/>
      <c r="Z1018" s="61" t="n">
        <f aca="false">SUM(Z1014:Z1017)</f>
        <v>8.71174117647059</v>
      </c>
    </row>
    <row r="1020" customFormat="false" ht="15" hidden="false" customHeight="false" outlineLevel="0" collapsed="false">
      <c r="Q1020" s="14" t="s">
        <v>334</v>
      </c>
      <c r="R1020" s="14"/>
      <c r="S1020" s="14" t="s">
        <v>1307</v>
      </c>
      <c r="T1020" s="14"/>
      <c r="U1020" s="14"/>
      <c r="V1020" s="14"/>
      <c r="W1020" s="14"/>
      <c r="X1020" s="14"/>
      <c r="Y1020" s="14"/>
    </row>
    <row r="1021" customFormat="false" ht="15" hidden="false" customHeight="false" outlineLevel="0" collapsed="false">
      <c r="Q1021" s="14" t="s">
        <v>279</v>
      </c>
      <c r="R1021" s="14" t="s">
        <v>417</v>
      </c>
      <c r="S1021" s="36" t="s">
        <v>281</v>
      </c>
      <c r="T1021" s="52" t="n">
        <v>120</v>
      </c>
      <c r="U1021" s="36" t="s">
        <v>282</v>
      </c>
      <c r="V1021" s="52" t="n">
        <f aca="false">T1021</f>
        <v>120</v>
      </c>
      <c r="W1021" s="14" t="s">
        <v>283</v>
      </c>
      <c r="Y1021" s="36" t="s">
        <v>204</v>
      </c>
      <c r="Z1021" s="53" t="n">
        <f aca="false">Z1026+Z1029+Z1033</f>
        <v>32.1063333333333</v>
      </c>
    </row>
    <row r="1022" customFormat="false" ht="15" hidden="false" customHeight="false" outlineLevel="0" collapsed="false">
      <c r="Q1022" s="14" t="s">
        <v>284</v>
      </c>
      <c r="R1022" s="14" t="s">
        <v>285</v>
      </c>
      <c r="V1022" s="36" t="s">
        <v>123</v>
      </c>
      <c r="W1022" s="36" t="s">
        <v>286</v>
      </c>
      <c r="X1022" s="36" t="s">
        <v>287</v>
      </c>
      <c r="Y1022" s="36" t="s">
        <v>288</v>
      </c>
      <c r="Z1022" s="36" t="s">
        <v>289</v>
      </c>
    </row>
    <row r="1023" customFormat="false" ht="15" hidden="false" customHeight="false" outlineLevel="0" collapsed="false">
      <c r="R1023" s="54" t="s">
        <v>290</v>
      </c>
    </row>
    <row r="1024" customFormat="false" ht="15" hidden="false" customHeight="false" outlineLevel="0" collapsed="false">
      <c r="R1024" s="1" t="s">
        <v>1294</v>
      </c>
      <c r="V1024" s="55" t="s">
        <v>292</v>
      </c>
      <c r="W1024" s="56" t="n">
        <v>1</v>
      </c>
      <c r="X1024" s="57" t="n">
        <f aca="false">W1024*8/$T$1021</f>
        <v>0.0666666666666667</v>
      </c>
      <c r="Y1024" s="28" t="n">
        <v>29.44</v>
      </c>
      <c r="Z1024" s="28" t="n">
        <f aca="false">X1024*Y1024</f>
        <v>1.96266666666667</v>
      </c>
    </row>
    <row r="1025" customFormat="false" ht="15" hidden="false" customHeight="false" outlineLevel="0" collapsed="false">
      <c r="R1025" s="1" t="s">
        <v>294</v>
      </c>
      <c r="V1025" s="55" t="s">
        <v>292</v>
      </c>
      <c r="W1025" s="56" t="n">
        <v>1</v>
      </c>
      <c r="X1025" s="57" t="n">
        <f aca="false">W1025*8/$T$1021</f>
        <v>0.0666666666666667</v>
      </c>
      <c r="Y1025" s="28" t="n">
        <v>20.51</v>
      </c>
      <c r="Z1025" s="28" t="n">
        <f aca="false">X1025*Y1025</f>
        <v>1.36733333333333</v>
      </c>
    </row>
    <row r="1026" customFormat="false" ht="15" hidden="false" customHeight="false" outlineLevel="0" collapsed="false">
      <c r="Z1026" s="53" t="n">
        <f aca="false">SUM(Z1024:Z1025)</f>
        <v>3.33</v>
      </c>
    </row>
    <row r="1027" customFormat="false" ht="15" hidden="false" customHeight="false" outlineLevel="0" collapsed="false">
      <c r="R1027" s="54" t="s">
        <v>295</v>
      </c>
    </row>
    <row r="1028" customFormat="false" ht="15" hidden="false" customHeight="false" outlineLevel="0" collapsed="false">
      <c r="R1028" s="1" t="s">
        <v>1295</v>
      </c>
      <c r="V1028" s="55" t="s">
        <v>340</v>
      </c>
      <c r="X1028" s="57" t="n">
        <v>0.75</v>
      </c>
      <c r="Y1028" s="28" t="n">
        <v>14.83</v>
      </c>
      <c r="Z1028" s="28" t="n">
        <f aca="false">X1028*Y1028</f>
        <v>11.1225</v>
      </c>
    </row>
    <row r="1029" customFormat="false" ht="15" hidden="false" customHeight="false" outlineLevel="0" collapsed="false">
      <c r="V1029" s="55"/>
      <c r="Z1029" s="53" t="n">
        <f aca="false">SUM(Z1028:Z1028)</f>
        <v>11.1225</v>
      </c>
    </row>
    <row r="1030" customFormat="false" ht="15" hidden="false" customHeight="false" outlineLevel="0" collapsed="false">
      <c r="R1030" s="54" t="s">
        <v>318</v>
      </c>
    </row>
    <row r="1031" customFormat="false" ht="15" hidden="false" customHeight="false" outlineLevel="0" collapsed="false">
      <c r="R1031" s="1" t="s">
        <v>311</v>
      </c>
      <c r="V1031" s="55" t="s">
        <v>312</v>
      </c>
      <c r="X1031" s="57" t="n">
        <v>5</v>
      </c>
      <c r="Y1031" s="28" t="n">
        <f aca="false">Z1026</f>
        <v>3.33</v>
      </c>
      <c r="Z1031" s="28" t="n">
        <f aca="false">X1031%*Y1031</f>
        <v>0.1665</v>
      </c>
    </row>
    <row r="1032" customFormat="false" ht="15" hidden="false" customHeight="false" outlineLevel="0" collapsed="false">
      <c r="R1032" s="1" t="s">
        <v>1301</v>
      </c>
      <c r="V1032" s="55" t="s">
        <v>338</v>
      </c>
      <c r="W1032" s="56" t="n">
        <v>1</v>
      </c>
      <c r="X1032" s="57" t="n">
        <f aca="false">W1032*8/$T$1021</f>
        <v>0.0666666666666667</v>
      </c>
      <c r="Y1032" s="28" t="n">
        <v>262.31</v>
      </c>
      <c r="Z1032" s="28" t="n">
        <f aca="false">X1032*Y1032</f>
        <v>17.4873333333333</v>
      </c>
    </row>
    <row r="1033" customFormat="false" ht="15" hidden="false" customHeight="false" outlineLevel="0" collapsed="false">
      <c r="Q1033" s="60"/>
      <c r="R1033" s="60"/>
      <c r="S1033" s="60"/>
      <c r="T1033" s="60"/>
      <c r="U1033" s="60"/>
      <c r="V1033" s="60"/>
      <c r="W1033" s="60"/>
      <c r="X1033" s="60"/>
      <c r="Y1033" s="60"/>
      <c r="Z1033" s="61" t="n">
        <f aca="false">SUM(Z1031:Z1032)</f>
        <v>17.6538333333333</v>
      </c>
    </row>
    <row r="1035" customFormat="false" ht="15" hidden="false" customHeight="false" outlineLevel="0" collapsed="false">
      <c r="Q1035" s="14" t="s">
        <v>334</v>
      </c>
      <c r="R1035" s="14"/>
      <c r="S1035" s="14" t="s">
        <v>1308</v>
      </c>
      <c r="T1035" s="14"/>
      <c r="U1035" s="14"/>
      <c r="V1035" s="14"/>
      <c r="W1035" s="14"/>
      <c r="X1035" s="14"/>
      <c r="Y1035" s="14"/>
    </row>
    <row r="1036" customFormat="false" ht="15" hidden="false" customHeight="false" outlineLevel="0" collapsed="false">
      <c r="Q1036" s="14" t="s">
        <v>279</v>
      </c>
      <c r="R1036" s="14" t="s">
        <v>417</v>
      </c>
      <c r="S1036" s="36" t="s">
        <v>281</v>
      </c>
      <c r="T1036" s="52" t="n">
        <v>180</v>
      </c>
      <c r="U1036" s="36" t="s">
        <v>282</v>
      </c>
      <c r="V1036" s="52" t="n">
        <f aca="false">T1036</f>
        <v>180</v>
      </c>
      <c r="W1036" s="14" t="s">
        <v>283</v>
      </c>
      <c r="Y1036" s="36" t="s">
        <v>204</v>
      </c>
      <c r="Z1036" s="53" t="n">
        <f aca="false">Z1041+Z1044+Z1048</f>
        <v>7.75705555555556</v>
      </c>
    </row>
    <row r="1037" customFormat="false" ht="15" hidden="false" customHeight="false" outlineLevel="0" collapsed="false">
      <c r="Q1037" s="14" t="s">
        <v>284</v>
      </c>
      <c r="R1037" s="14" t="s">
        <v>285</v>
      </c>
      <c r="V1037" s="36" t="s">
        <v>123</v>
      </c>
      <c r="W1037" s="36" t="s">
        <v>286</v>
      </c>
      <c r="X1037" s="36" t="s">
        <v>287</v>
      </c>
      <c r="Y1037" s="36" t="s">
        <v>288</v>
      </c>
      <c r="Z1037" s="36" t="s">
        <v>289</v>
      </c>
    </row>
    <row r="1038" customFormat="false" ht="15" hidden="false" customHeight="false" outlineLevel="0" collapsed="false">
      <c r="R1038" s="54" t="s">
        <v>290</v>
      </c>
    </row>
    <row r="1039" customFormat="false" ht="15" hidden="false" customHeight="false" outlineLevel="0" collapsed="false">
      <c r="R1039" s="1" t="s">
        <v>1294</v>
      </c>
      <c r="V1039" s="55" t="s">
        <v>292</v>
      </c>
      <c r="W1039" s="56" t="n">
        <v>1</v>
      </c>
      <c r="X1039" s="57" t="n">
        <f aca="false">W1039*8/$T$1036</f>
        <v>0.0444444444444444</v>
      </c>
      <c r="Y1039" s="28" t="n">
        <v>29.44</v>
      </c>
      <c r="Z1039" s="28" t="n">
        <f aca="false">X1039*Y1039</f>
        <v>1.30844444444444</v>
      </c>
    </row>
    <row r="1040" customFormat="false" ht="15" hidden="false" customHeight="false" outlineLevel="0" collapsed="false">
      <c r="R1040" s="1" t="s">
        <v>294</v>
      </c>
      <c r="V1040" s="55" t="s">
        <v>292</v>
      </c>
      <c r="W1040" s="56" t="n">
        <v>1</v>
      </c>
      <c r="X1040" s="57" t="n">
        <f aca="false">W1040*8/$T$1036</f>
        <v>0.0444444444444444</v>
      </c>
      <c r="Y1040" s="28" t="n">
        <v>20.51</v>
      </c>
      <c r="Z1040" s="28" t="n">
        <f aca="false">X1040*Y1040</f>
        <v>0.911555555555556</v>
      </c>
    </row>
    <row r="1041" customFormat="false" ht="15" hidden="false" customHeight="false" outlineLevel="0" collapsed="false">
      <c r="Z1041" s="53" t="n">
        <f aca="false">SUM(Z1039:Z1040)</f>
        <v>2.22</v>
      </c>
    </row>
    <row r="1042" customFormat="false" ht="15" hidden="false" customHeight="false" outlineLevel="0" collapsed="false">
      <c r="R1042" s="54" t="s">
        <v>295</v>
      </c>
    </row>
    <row r="1043" customFormat="false" ht="15" hidden="false" customHeight="false" outlineLevel="0" collapsed="false">
      <c r="R1043" s="1" t="s">
        <v>1295</v>
      </c>
      <c r="V1043" s="55" t="s">
        <v>340</v>
      </c>
      <c r="X1043" s="57" t="n">
        <v>0.15</v>
      </c>
      <c r="Y1043" s="28" t="n">
        <v>14.83</v>
      </c>
      <c r="Z1043" s="28" t="n">
        <f aca="false">X1043*Y1043</f>
        <v>2.2245</v>
      </c>
    </row>
    <row r="1044" customFormat="false" ht="15" hidden="false" customHeight="false" outlineLevel="0" collapsed="false">
      <c r="V1044" s="55"/>
      <c r="Z1044" s="53" t="n">
        <f aca="false">SUM(Z1043:Z1043)</f>
        <v>2.2245</v>
      </c>
    </row>
    <row r="1045" customFormat="false" ht="15" hidden="false" customHeight="false" outlineLevel="0" collapsed="false">
      <c r="R1045" s="54" t="s">
        <v>318</v>
      </c>
    </row>
    <row r="1046" customFormat="false" ht="15" hidden="false" customHeight="false" outlineLevel="0" collapsed="false">
      <c r="R1046" s="1" t="s">
        <v>311</v>
      </c>
      <c r="V1046" s="55" t="s">
        <v>312</v>
      </c>
      <c r="X1046" s="57" t="n">
        <v>5</v>
      </c>
      <c r="Y1046" s="28" t="n">
        <f aca="false">Z1041</f>
        <v>2.22</v>
      </c>
      <c r="Z1046" s="28" t="n">
        <f aca="false">X1046%*Y1046</f>
        <v>0.111</v>
      </c>
    </row>
    <row r="1047" customFormat="false" ht="15" hidden="false" customHeight="false" outlineLevel="0" collapsed="false">
      <c r="R1047" s="1" t="s">
        <v>1298</v>
      </c>
      <c r="V1047" s="55" t="s">
        <v>338</v>
      </c>
      <c r="W1047" s="56" t="n">
        <v>0.5</v>
      </c>
      <c r="X1047" s="57" t="n">
        <f aca="false">W1047*8/$T$1036</f>
        <v>0.0222222222222222</v>
      </c>
      <c r="Y1047" s="28" t="n">
        <v>144.07</v>
      </c>
      <c r="Z1047" s="28" t="n">
        <f aca="false">X1047*Y1047</f>
        <v>3.20155555555556</v>
      </c>
    </row>
    <row r="1048" customFormat="false" ht="15" hidden="false" customHeight="false" outlineLevel="0" collapsed="false">
      <c r="Q1048" s="60"/>
      <c r="R1048" s="60"/>
      <c r="S1048" s="60"/>
      <c r="T1048" s="60"/>
      <c r="U1048" s="60"/>
      <c r="V1048" s="60"/>
      <c r="W1048" s="60"/>
      <c r="X1048" s="60"/>
      <c r="Y1048" s="60"/>
      <c r="Z1048" s="61" t="n">
        <f aca="false">SUM(Z1046:Z1047)</f>
        <v>3.31255555555556</v>
      </c>
    </row>
    <row r="1050" customFormat="false" ht="15" hidden="false" customHeight="false" outlineLevel="0" collapsed="false">
      <c r="Q1050" s="14" t="s">
        <v>334</v>
      </c>
      <c r="R1050" s="14"/>
      <c r="S1050" s="14" t="s">
        <v>1309</v>
      </c>
      <c r="T1050" s="14"/>
      <c r="U1050" s="14"/>
      <c r="V1050" s="14"/>
      <c r="W1050" s="14"/>
      <c r="X1050" s="14"/>
      <c r="Y1050" s="14"/>
    </row>
    <row r="1051" customFormat="false" ht="15" hidden="false" customHeight="false" outlineLevel="0" collapsed="false">
      <c r="Q1051" s="14" t="s">
        <v>279</v>
      </c>
      <c r="R1051" s="14" t="s">
        <v>417</v>
      </c>
      <c r="S1051" s="36" t="s">
        <v>281</v>
      </c>
      <c r="T1051" s="52" t="n">
        <v>120</v>
      </c>
      <c r="U1051" s="36" t="s">
        <v>282</v>
      </c>
      <c r="V1051" s="52" t="n">
        <f aca="false">T1051</f>
        <v>120</v>
      </c>
      <c r="W1051" s="14" t="s">
        <v>283</v>
      </c>
      <c r="Y1051" s="36" t="s">
        <v>204</v>
      </c>
      <c r="Z1051" s="53" t="n">
        <f aca="false">Z1056+Z1059+Z1063</f>
        <v>18.9908333333333</v>
      </c>
    </row>
    <row r="1052" customFormat="false" ht="15" hidden="false" customHeight="false" outlineLevel="0" collapsed="false">
      <c r="Q1052" s="14" t="s">
        <v>284</v>
      </c>
      <c r="R1052" s="14" t="s">
        <v>285</v>
      </c>
      <c r="V1052" s="36" t="s">
        <v>123</v>
      </c>
      <c r="W1052" s="36" t="s">
        <v>286</v>
      </c>
      <c r="X1052" s="36" t="s">
        <v>287</v>
      </c>
      <c r="Y1052" s="36" t="s">
        <v>288</v>
      </c>
      <c r="Z1052" s="36" t="s">
        <v>289</v>
      </c>
    </row>
    <row r="1053" customFormat="false" ht="15" hidden="false" customHeight="false" outlineLevel="0" collapsed="false">
      <c r="R1053" s="54" t="s">
        <v>290</v>
      </c>
    </row>
    <row r="1054" customFormat="false" ht="15" hidden="false" customHeight="false" outlineLevel="0" collapsed="false">
      <c r="R1054" s="1" t="s">
        <v>1294</v>
      </c>
      <c r="V1054" s="55" t="s">
        <v>292</v>
      </c>
      <c r="W1054" s="56" t="n">
        <v>1</v>
      </c>
      <c r="X1054" s="57" t="n">
        <f aca="false">W1054*8/$T$1051</f>
        <v>0.0666666666666667</v>
      </c>
      <c r="Y1054" s="28" t="n">
        <v>29.44</v>
      </c>
      <c r="Z1054" s="28" t="n">
        <f aca="false">X1054*Y1054</f>
        <v>1.96266666666667</v>
      </c>
    </row>
    <row r="1055" customFormat="false" ht="15" hidden="false" customHeight="false" outlineLevel="0" collapsed="false">
      <c r="R1055" s="1" t="s">
        <v>294</v>
      </c>
      <c r="V1055" s="55" t="s">
        <v>292</v>
      </c>
      <c r="W1055" s="56" t="n">
        <v>1</v>
      </c>
      <c r="X1055" s="57" t="n">
        <f aca="false">W1055*8/$T$1051</f>
        <v>0.0666666666666667</v>
      </c>
      <c r="Y1055" s="28" t="n">
        <v>20.51</v>
      </c>
      <c r="Z1055" s="28" t="n">
        <f aca="false">X1055*Y1055</f>
        <v>1.36733333333333</v>
      </c>
    </row>
    <row r="1056" customFormat="false" ht="15" hidden="false" customHeight="false" outlineLevel="0" collapsed="false">
      <c r="Z1056" s="53" t="n">
        <f aca="false">SUM(Z1054:Z1055)</f>
        <v>3.33</v>
      </c>
    </row>
    <row r="1057" customFormat="false" ht="15" hidden="false" customHeight="false" outlineLevel="0" collapsed="false">
      <c r="R1057" s="54" t="s">
        <v>295</v>
      </c>
    </row>
    <row r="1058" customFormat="false" ht="15" hidden="false" customHeight="false" outlineLevel="0" collapsed="false">
      <c r="R1058" s="1" t="s">
        <v>1295</v>
      </c>
      <c r="V1058" s="55" t="s">
        <v>340</v>
      </c>
      <c r="X1058" s="57" t="n">
        <v>0.75</v>
      </c>
      <c r="Y1058" s="28" t="n">
        <v>14.83</v>
      </c>
      <c r="Z1058" s="28" t="n">
        <f aca="false">X1058*Y1058</f>
        <v>11.1225</v>
      </c>
    </row>
    <row r="1059" customFormat="false" ht="15" hidden="false" customHeight="false" outlineLevel="0" collapsed="false">
      <c r="V1059" s="55"/>
      <c r="Z1059" s="53" t="n">
        <f aca="false">SUM(Z1058:Z1058)</f>
        <v>11.1225</v>
      </c>
    </row>
    <row r="1060" customFormat="false" ht="15" hidden="false" customHeight="false" outlineLevel="0" collapsed="false">
      <c r="R1060" s="54" t="s">
        <v>318</v>
      </c>
    </row>
    <row r="1061" customFormat="false" ht="15" hidden="false" customHeight="false" outlineLevel="0" collapsed="false">
      <c r="R1061" s="1" t="s">
        <v>311</v>
      </c>
      <c r="V1061" s="55" t="s">
        <v>312</v>
      </c>
      <c r="X1061" s="57" t="n">
        <v>5</v>
      </c>
      <c r="Y1061" s="28" t="n">
        <f aca="false">Z1056</f>
        <v>3.33</v>
      </c>
      <c r="Z1061" s="28" t="n">
        <f aca="false">X1061%*Y1061</f>
        <v>0.1665</v>
      </c>
    </row>
    <row r="1062" customFormat="false" ht="15" hidden="false" customHeight="false" outlineLevel="0" collapsed="false">
      <c r="R1062" s="1" t="s">
        <v>1301</v>
      </c>
      <c r="V1062" s="55" t="s">
        <v>338</v>
      </c>
      <c r="W1062" s="56" t="n">
        <v>0.25</v>
      </c>
      <c r="X1062" s="57" t="n">
        <f aca="false">W1062*8/$T$1051</f>
        <v>0.0166666666666667</v>
      </c>
      <c r="Y1062" s="28" t="n">
        <v>262.31</v>
      </c>
      <c r="Z1062" s="28" t="n">
        <f aca="false">X1062*Y1062</f>
        <v>4.37183333333333</v>
      </c>
    </row>
    <row r="1063" customFormat="false" ht="15" hidden="false" customHeight="false" outlineLevel="0" collapsed="false">
      <c r="Q1063" s="60"/>
      <c r="R1063" s="60"/>
      <c r="S1063" s="60"/>
      <c r="T1063" s="60"/>
      <c r="U1063" s="60"/>
      <c r="V1063" s="60"/>
      <c r="W1063" s="60"/>
      <c r="X1063" s="60"/>
      <c r="Y1063" s="60"/>
      <c r="Z1063" s="61" t="n">
        <f aca="false">SUM(Z1061:Z1062)</f>
        <v>4.53833333333333</v>
      </c>
    </row>
    <row r="1065" customFormat="false" ht="15" hidden="false" customHeight="false" outlineLevel="0" collapsed="false">
      <c r="Q1065" s="14" t="s">
        <v>334</v>
      </c>
      <c r="R1065" s="14"/>
      <c r="S1065" s="14" t="s">
        <v>1310</v>
      </c>
      <c r="T1065" s="14"/>
      <c r="U1065" s="14"/>
      <c r="V1065" s="14"/>
      <c r="W1065" s="14"/>
      <c r="X1065" s="14"/>
      <c r="Y1065" s="14"/>
    </row>
    <row r="1066" customFormat="false" ht="15" hidden="false" customHeight="false" outlineLevel="0" collapsed="false">
      <c r="Q1066" s="14" t="s">
        <v>279</v>
      </c>
      <c r="R1066" s="14" t="s">
        <v>417</v>
      </c>
      <c r="S1066" s="36" t="s">
        <v>281</v>
      </c>
      <c r="T1066" s="52" t="n">
        <v>350</v>
      </c>
      <c r="U1066" s="36" t="s">
        <v>282</v>
      </c>
      <c r="V1066" s="52" t="n">
        <f aca="false">T1066</f>
        <v>350</v>
      </c>
      <c r="W1066" s="14" t="s">
        <v>283</v>
      </c>
      <c r="Y1066" s="36" t="s">
        <v>204</v>
      </c>
      <c r="Z1066" s="53" t="n">
        <f aca="false">Z1071+Z1074+Z1079</f>
        <v>8.99004285714286</v>
      </c>
    </row>
    <row r="1067" customFormat="false" ht="15" hidden="false" customHeight="false" outlineLevel="0" collapsed="false">
      <c r="Q1067" s="14" t="s">
        <v>284</v>
      </c>
      <c r="R1067" s="14" t="s">
        <v>285</v>
      </c>
      <c r="V1067" s="36" t="s">
        <v>123</v>
      </c>
      <c r="W1067" s="36" t="s">
        <v>286</v>
      </c>
      <c r="X1067" s="36" t="s">
        <v>287</v>
      </c>
      <c r="Y1067" s="36" t="s">
        <v>288</v>
      </c>
      <c r="Z1067" s="36" t="s">
        <v>289</v>
      </c>
    </row>
    <row r="1068" customFormat="false" ht="15" hidden="false" customHeight="false" outlineLevel="0" collapsed="false">
      <c r="R1068" s="54" t="s">
        <v>290</v>
      </c>
    </row>
    <row r="1069" customFormat="false" ht="15" hidden="false" customHeight="false" outlineLevel="0" collapsed="false">
      <c r="R1069" s="1" t="s">
        <v>1294</v>
      </c>
      <c r="V1069" s="55" t="s">
        <v>292</v>
      </c>
      <c r="W1069" s="56" t="n">
        <v>1</v>
      </c>
      <c r="X1069" s="57" t="n">
        <f aca="false">W1069*8/$T$1066</f>
        <v>0.0228571428571429</v>
      </c>
      <c r="Y1069" s="28" t="n">
        <v>29.44</v>
      </c>
      <c r="Z1069" s="28" t="n">
        <f aca="false">X1069*Y1069</f>
        <v>0.672914285714286</v>
      </c>
    </row>
    <row r="1070" customFormat="false" ht="15" hidden="false" customHeight="false" outlineLevel="0" collapsed="false">
      <c r="R1070" s="1" t="s">
        <v>294</v>
      </c>
      <c r="V1070" s="55" t="s">
        <v>292</v>
      </c>
      <c r="W1070" s="56" t="n">
        <v>1</v>
      </c>
      <c r="X1070" s="57" t="n">
        <f aca="false">W1070*8/$T$1066</f>
        <v>0.0228571428571429</v>
      </c>
      <c r="Y1070" s="28" t="n">
        <v>20.51</v>
      </c>
      <c r="Z1070" s="28" t="n">
        <f aca="false">X1070*Y1070</f>
        <v>0.4688</v>
      </c>
    </row>
    <row r="1071" customFormat="false" ht="15" hidden="false" customHeight="false" outlineLevel="0" collapsed="false">
      <c r="Z1071" s="53" t="n">
        <f aca="false">SUM(Z1069:Z1070)</f>
        <v>1.14171428571429</v>
      </c>
    </row>
    <row r="1072" customFormat="false" ht="15" hidden="false" customHeight="false" outlineLevel="0" collapsed="false">
      <c r="R1072" s="54" t="s">
        <v>295</v>
      </c>
    </row>
    <row r="1073" customFormat="false" ht="15" hidden="false" customHeight="false" outlineLevel="0" collapsed="false">
      <c r="R1073" s="1" t="s">
        <v>1295</v>
      </c>
      <c r="V1073" s="55" t="s">
        <v>340</v>
      </c>
      <c r="X1073" s="57" t="n">
        <v>0.15</v>
      </c>
      <c r="Y1073" s="28" t="n">
        <v>14.83</v>
      </c>
      <c r="Z1073" s="28" t="n">
        <f aca="false">X1073*Y1073</f>
        <v>2.2245</v>
      </c>
    </row>
    <row r="1074" customFormat="false" ht="15" hidden="false" customHeight="false" outlineLevel="0" collapsed="false">
      <c r="V1074" s="55"/>
      <c r="Z1074" s="53" t="n">
        <f aca="false">SUM(Z1073:Z1073)</f>
        <v>2.2245</v>
      </c>
    </row>
    <row r="1075" customFormat="false" ht="15" hidden="false" customHeight="false" outlineLevel="0" collapsed="false">
      <c r="R1075" s="54" t="s">
        <v>318</v>
      </c>
    </row>
    <row r="1076" customFormat="false" ht="15" hidden="false" customHeight="false" outlineLevel="0" collapsed="false">
      <c r="R1076" s="1" t="s">
        <v>311</v>
      </c>
      <c r="V1076" s="55" t="s">
        <v>312</v>
      </c>
      <c r="X1076" s="57" t="n">
        <v>5</v>
      </c>
      <c r="Y1076" s="28" t="n">
        <f aca="false">Z1071</f>
        <v>1.14171428571429</v>
      </c>
      <c r="Z1076" s="28" t="n">
        <f aca="false">X1076%*Y1076</f>
        <v>0.0570857142857143</v>
      </c>
    </row>
    <row r="1077" customFormat="false" ht="15" hidden="false" customHeight="false" outlineLevel="0" collapsed="false">
      <c r="R1077" s="1" t="s">
        <v>1296</v>
      </c>
      <c r="V1077" s="55" t="s">
        <v>338</v>
      </c>
      <c r="W1077" s="56" t="n">
        <v>0.75</v>
      </c>
      <c r="X1077" s="57" t="n">
        <f aca="false">W1077*8/$T$1066</f>
        <v>0.0171428571428571</v>
      </c>
      <c r="Y1077" s="28" t="n">
        <v>237.29</v>
      </c>
      <c r="Z1077" s="28" t="n">
        <f aca="false">X1077*Y1077</f>
        <v>4.06782857142857</v>
      </c>
    </row>
    <row r="1078" customFormat="false" ht="15" hidden="false" customHeight="false" outlineLevel="0" collapsed="false">
      <c r="R1078" s="1" t="s">
        <v>1301</v>
      </c>
      <c r="V1078" s="55" t="s">
        <v>338</v>
      </c>
      <c r="W1078" s="56" t="n">
        <v>0.25</v>
      </c>
      <c r="X1078" s="57" t="n">
        <f aca="false">W1078*8/$T$1066</f>
        <v>0.00571428571428571</v>
      </c>
      <c r="Y1078" s="28" t="n">
        <v>262.31</v>
      </c>
      <c r="Z1078" s="28" t="n">
        <f aca="false">X1078*Y1078</f>
        <v>1.49891428571429</v>
      </c>
    </row>
    <row r="1079" customFormat="false" ht="15" hidden="false" customHeight="false" outlineLevel="0" collapsed="false">
      <c r="Q1079" s="60"/>
      <c r="R1079" s="60"/>
      <c r="S1079" s="60"/>
      <c r="T1079" s="60"/>
      <c r="U1079" s="60"/>
      <c r="V1079" s="60"/>
      <c r="W1079" s="60"/>
      <c r="X1079" s="60"/>
      <c r="Y1079" s="60"/>
      <c r="Z1079" s="61" t="n">
        <f aca="false">SUM(Z1076:Z1078)</f>
        <v>5.62382857142857</v>
      </c>
    </row>
    <row r="1081" customFormat="false" ht="15" hidden="false" customHeight="false" outlineLevel="0" collapsed="false">
      <c r="Q1081" s="14" t="s">
        <v>334</v>
      </c>
      <c r="R1081" s="14"/>
      <c r="S1081" s="14" t="s">
        <v>1311</v>
      </c>
      <c r="T1081" s="14"/>
      <c r="U1081" s="14"/>
      <c r="V1081" s="14"/>
      <c r="W1081" s="14"/>
      <c r="X1081" s="14"/>
      <c r="Y1081" s="14"/>
    </row>
    <row r="1082" customFormat="false" ht="15" hidden="false" customHeight="false" outlineLevel="0" collapsed="false">
      <c r="Q1082" s="14" t="s">
        <v>279</v>
      </c>
      <c r="R1082" s="14" t="s">
        <v>417</v>
      </c>
      <c r="S1082" s="36" t="s">
        <v>281</v>
      </c>
      <c r="T1082" s="52" t="n">
        <v>50</v>
      </c>
      <c r="U1082" s="36" t="s">
        <v>282</v>
      </c>
      <c r="V1082" s="52" t="n">
        <f aca="false">T1082</f>
        <v>50</v>
      </c>
      <c r="W1082" s="14" t="s">
        <v>283</v>
      </c>
      <c r="Y1082" s="36" t="s">
        <v>204</v>
      </c>
      <c r="Z1082" s="53" t="n">
        <f aca="false">Z1087+Z1090+Z1095</f>
        <v>53.8094</v>
      </c>
    </row>
    <row r="1083" customFormat="false" ht="15" hidden="false" customHeight="false" outlineLevel="0" collapsed="false">
      <c r="Q1083" s="14" t="s">
        <v>284</v>
      </c>
      <c r="R1083" s="14" t="s">
        <v>285</v>
      </c>
      <c r="V1083" s="36" t="s">
        <v>123</v>
      </c>
      <c r="W1083" s="36" t="s">
        <v>286</v>
      </c>
      <c r="X1083" s="36" t="s">
        <v>287</v>
      </c>
      <c r="Y1083" s="36" t="s">
        <v>288</v>
      </c>
      <c r="Z1083" s="36" t="s">
        <v>289</v>
      </c>
    </row>
    <row r="1084" customFormat="false" ht="15" hidden="false" customHeight="false" outlineLevel="0" collapsed="false">
      <c r="R1084" s="54" t="s">
        <v>290</v>
      </c>
    </row>
    <row r="1085" customFormat="false" ht="15" hidden="false" customHeight="false" outlineLevel="0" collapsed="false">
      <c r="R1085" s="1" t="s">
        <v>1294</v>
      </c>
      <c r="V1085" s="55" t="s">
        <v>292</v>
      </c>
      <c r="W1085" s="56" t="n">
        <v>1</v>
      </c>
      <c r="X1085" s="57" t="n">
        <f aca="false">W1085*8/$T$1082</f>
        <v>0.16</v>
      </c>
      <c r="Y1085" s="28" t="n">
        <v>29.44</v>
      </c>
      <c r="Z1085" s="28" t="n">
        <f aca="false">X1085*Y1085</f>
        <v>4.7104</v>
      </c>
    </row>
    <row r="1086" customFormat="false" ht="15" hidden="false" customHeight="false" outlineLevel="0" collapsed="false">
      <c r="R1086" s="1" t="s">
        <v>294</v>
      </c>
      <c r="V1086" s="55" t="s">
        <v>292</v>
      </c>
      <c r="W1086" s="56" t="n">
        <v>1</v>
      </c>
      <c r="X1086" s="57" t="n">
        <f aca="false">W1086*8/$T$1082</f>
        <v>0.16</v>
      </c>
      <c r="Y1086" s="28" t="n">
        <v>20.51</v>
      </c>
      <c r="Z1086" s="28" t="n">
        <f aca="false">X1086*Y1086</f>
        <v>3.2816</v>
      </c>
    </row>
    <row r="1087" customFormat="false" ht="15" hidden="false" customHeight="false" outlineLevel="0" collapsed="false">
      <c r="Z1087" s="53" t="n">
        <f aca="false">SUM(Z1085:Z1086)</f>
        <v>7.992</v>
      </c>
    </row>
    <row r="1088" customFormat="false" ht="15" hidden="false" customHeight="false" outlineLevel="0" collapsed="false">
      <c r="R1088" s="54" t="s">
        <v>295</v>
      </c>
    </row>
    <row r="1089" customFormat="false" ht="15" hidden="false" customHeight="false" outlineLevel="0" collapsed="false">
      <c r="R1089" s="1" t="s">
        <v>1295</v>
      </c>
      <c r="V1089" s="55" t="s">
        <v>340</v>
      </c>
      <c r="X1089" s="57" t="n">
        <v>0.3</v>
      </c>
      <c r="Y1089" s="28" t="n">
        <v>14.83</v>
      </c>
      <c r="Z1089" s="28" t="n">
        <f aca="false">X1089*Y1089</f>
        <v>4.449</v>
      </c>
    </row>
    <row r="1090" customFormat="false" ht="15" hidden="false" customHeight="false" outlineLevel="0" collapsed="false">
      <c r="V1090" s="55"/>
      <c r="Z1090" s="53" t="n">
        <f aca="false">SUM(Z1089:Z1089)</f>
        <v>4.449</v>
      </c>
    </row>
    <row r="1091" customFormat="false" ht="15" hidden="false" customHeight="false" outlineLevel="0" collapsed="false">
      <c r="R1091" s="54" t="s">
        <v>318</v>
      </c>
    </row>
    <row r="1092" customFormat="false" ht="15" hidden="false" customHeight="false" outlineLevel="0" collapsed="false">
      <c r="R1092" s="1" t="s">
        <v>311</v>
      </c>
      <c r="V1092" s="55" t="s">
        <v>312</v>
      </c>
      <c r="X1092" s="57" t="n">
        <v>5</v>
      </c>
      <c r="Y1092" s="28" t="n">
        <f aca="false">Z1087</f>
        <v>7.992</v>
      </c>
      <c r="Z1092" s="28" t="n">
        <f aca="false">X1092%*Y1092</f>
        <v>0.3996</v>
      </c>
    </row>
    <row r="1093" customFormat="false" ht="15" hidden="false" customHeight="false" outlineLevel="0" collapsed="false">
      <c r="R1093" s="1" t="s">
        <v>1296</v>
      </c>
      <c r="V1093" s="55" t="s">
        <v>338</v>
      </c>
      <c r="W1093" s="56" t="n">
        <v>0.25</v>
      </c>
      <c r="X1093" s="57" t="n">
        <f aca="false">W1093*8/$T$1082</f>
        <v>0.04</v>
      </c>
      <c r="Y1093" s="28" t="n">
        <v>237.29</v>
      </c>
      <c r="Z1093" s="28" t="n">
        <f aca="false">X1093*Y1093</f>
        <v>9.4916</v>
      </c>
    </row>
    <row r="1094" customFormat="false" ht="15" hidden="false" customHeight="false" outlineLevel="0" collapsed="false">
      <c r="R1094" s="1" t="s">
        <v>1301</v>
      </c>
      <c r="V1094" s="55" t="s">
        <v>338</v>
      </c>
      <c r="W1094" s="56" t="n">
        <v>0.75</v>
      </c>
      <c r="X1094" s="57" t="n">
        <f aca="false">W1094*8/$T$1082</f>
        <v>0.12</v>
      </c>
      <c r="Y1094" s="28" t="n">
        <v>262.31</v>
      </c>
      <c r="Z1094" s="28" t="n">
        <f aca="false">X1094*Y1094</f>
        <v>31.4772</v>
      </c>
    </row>
    <row r="1095" customFormat="false" ht="15" hidden="false" customHeight="false" outlineLevel="0" collapsed="false">
      <c r="Q1095" s="60"/>
      <c r="R1095" s="60"/>
      <c r="S1095" s="60"/>
      <c r="T1095" s="60"/>
      <c r="U1095" s="60"/>
      <c r="V1095" s="60"/>
      <c r="W1095" s="60"/>
      <c r="X1095" s="60"/>
      <c r="Y1095" s="60"/>
      <c r="Z1095" s="61" t="n">
        <f aca="false">SUM(Z1092:Z1094)</f>
        <v>41.3684</v>
      </c>
    </row>
    <row r="1097" customFormat="false" ht="15" hidden="false" customHeight="false" outlineLevel="0" collapsed="false">
      <c r="Q1097" s="14" t="s">
        <v>334</v>
      </c>
      <c r="R1097" s="14"/>
      <c r="S1097" s="14" t="s">
        <v>1312</v>
      </c>
      <c r="T1097" s="14"/>
      <c r="U1097" s="14"/>
      <c r="V1097" s="14"/>
      <c r="W1097" s="14"/>
      <c r="X1097" s="14"/>
      <c r="Y1097" s="14"/>
    </row>
    <row r="1098" customFormat="false" ht="15" hidden="false" customHeight="false" outlineLevel="0" collapsed="false">
      <c r="Q1098" s="14" t="s">
        <v>279</v>
      </c>
      <c r="R1098" s="14" t="s">
        <v>417</v>
      </c>
      <c r="S1098" s="36" t="s">
        <v>281</v>
      </c>
      <c r="T1098" s="52" t="n">
        <v>400</v>
      </c>
      <c r="U1098" s="36" t="s">
        <v>282</v>
      </c>
      <c r="V1098" s="52" t="n">
        <f aca="false">T1098</f>
        <v>400</v>
      </c>
      <c r="W1098" s="14" t="s">
        <v>283</v>
      </c>
      <c r="Y1098" s="36" t="s">
        <v>204</v>
      </c>
      <c r="Z1098" s="53" t="n">
        <f aca="false">Z1103+Z1106+Z1111</f>
        <v>8.14435</v>
      </c>
    </row>
    <row r="1099" customFormat="false" ht="15" hidden="false" customHeight="false" outlineLevel="0" collapsed="false">
      <c r="Q1099" s="14" t="s">
        <v>284</v>
      </c>
      <c r="R1099" s="14" t="s">
        <v>285</v>
      </c>
      <c r="V1099" s="36" t="s">
        <v>123</v>
      </c>
      <c r="W1099" s="36" t="s">
        <v>286</v>
      </c>
      <c r="X1099" s="36" t="s">
        <v>287</v>
      </c>
      <c r="Y1099" s="36" t="s">
        <v>288</v>
      </c>
      <c r="Z1099" s="36" t="s">
        <v>289</v>
      </c>
    </row>
    <row r="1100" customFormat="false" ht="15" hidden="false" customHeight="false" outlineLevel="0" collapsed="false">
      <c r="R1100" s="54" t="s">
        <v>290</v>
      </c>
    </row>
    <row r="1101" customFormat="false" ht="15" hidden="false" customHeight="false" outlineLevel="0" collapsed="false">
      <c r="R1101" s="1" t="s">
        <v>1294</v>
      </c>
      <c r="V1101" s="55" t="s">
        <v>292</v>
      </c>
      <c r="W1101" s="56" t="n">
        <v>1</v>
      </c>
      <c r="X1101" s="57" t="n">
        <f aca="false">W1101*8/$T$1098</f>
        <v>0.02</v>
      </c>
      <c r="Y1101" s="28" t="n">
        <v>29.44</v>
      </c>
      <c r="Z1101" s="28" t="n">
        <f aca="false">X1101*Y1101</f>
        <v>0.5888</v>
      </c>
    </row>
    <row r="1102" customFormat="false" ht="15" hidden="false" customHeight="false" outlineLevel="0" collapsed="false">
      <c r="R1102" s="1" t="s">
        <v>294</v>
      </c>
      <c r="V1102" s="55" t="s">
        <v>292</v>
      </c>
      <c r="W1102" s="56" t="n">
        <v>1</v>
      </c>
      <c r="X1102" s="57" t="n">
        <f aca="false">W1102*8/$T$1098</f>
        <v>0.02</v>
      </c>
      <c r="Y1102" s="28" t="n">
        <v>20.51</v>
      </c>
      <c r="Z1102" s="28" t="n">
        <f aca="false">X1102*Y1102</f>
        <v>0.4102</v>
      </c>
    </row>
    <row r="1103" customFormat="false" ht="15" hidden="false" customHeight="false" outlineLevel="0" collapsed="false">
      <c r="Z1103" s="53" t="n">
        <f aca="false">SUM(Z1101:Z1102)</f>
        <v>0.999</v>
      </c>
    </row>
    <row r="1104" customFormat="false" ht="15" hidden="false" customHeight="false" outlineLevel="0" collapsed="false">
      <c r="R1104" s="54" t="s">
        <v>295</v>
      </c>
    </row>
    <row r="1105" customFormat="false" ht="15" hidden="false" customHeight="false" outlineLevel="0" collapsed="false">
      <c r="R1105" s="1" t="s">
        <v>1295</v>
      </c>
      <c r="V1105" s="55" t="s">
        <v>340</v>
      </c>
      <c r="X1105" s="57" t="n">
        <v>0.15</v>
      </c>
      <c r="Y1105" s="28" t="n">
        <v>14.83</v>
      </c>
      <c r="Z1105" s="28" t="n">
        <f aca="false">X1105*Y1105</f>
        <v>2.2245</v>
      </c>
    </row>
    <row r="1106" customFormat="false" ht="15" hidden="false" customHeight="false" outlineLevel="0" collapsed="false">
      <c r="V1106" s="55"/>
      <c r="Z1106" s="53" t="n">
        <f aca="false">SUM(Z1105:Z1105)</f>
        <v>2.2245</v>
      </c>
    </row>
    <row r="1107" customFormat="false" ht="15" hidden="false" customHeight="false" outlineLevel="0" collapsed="false">
      <c r="R1107" s="54" t="s">
        <v>318</v>
      </c>
    </row>
    <row r="1108" customFormat="false" ht="15" hidden="false" customHeight="false" outlineLevel="0" collapsed="false">
      <c r="R1108" s="1" t="s">
        <v>311</v>
      </c>
      <c r="V1108" s="55" t="s">
        <v>312</v>
      </c>
      <c r="X1108" s="57" t="n">
        <v>5</v>
      </c>
      <c r="Y1108" s="28" t="n">
        <f aca="false">Z1103</f>
        <v>0.999</v>
      </c>
      <c r="Z1108" s="28" t="n">
        <f aca="false">X1108%*Y1108</f>
        <v>0.04995</v>
      </c>
    </row>
    <row r="1109" customFormat="false" ht="15" hidden="false" customHeight="false" outlineLevel="0" collapsed="false">
      <c r="R1109" s="1" t="s">
        <v>1296</v>
      </c>
      <c r="V1109" s="55" t="s">
        <v>338</v>
      </c>
      <c r="W1109" s="56" t="n">
        <v>0.75</v>
      </c>
      <c r="X1109" s="57" t="n">
        <f aca="false">W1109*8/$T$1098</f>
        <v>0.015</v>
      </c>
      <c r="Y1109" s="28" t="n">
        <v>237.29</v>
      </c>
      <c r="Z1109" s="28" t="n">
        <f aca="false">X1109*Y1109</f>
        <v>3.55935</v>
      </c>
    </row>
    <row r="1110" customFormat="false" ht="15" hidden="false" customHeight="false" outlineLevel="0" collapsed="false">
      <c r="R1110" s="1" t="s">
        <v>1301</v>
      </c>
      <c r="V1110" s="55" t="s">
        <v>338</v>
      </c>
      <c r="W1110" s="56" t="n">
        <v>0.25</v>
      </c>
      <c r="X1110" s="57" t="n">
        <f aca="false">W1110*8/$T$1098</f>
        <v>0.005</v>
      </c>
      <c r="Y1110" s="28" t="n">
        <v>262.31</v>
      </c>
      <c r="Z1110" s="28" t="n">
        <f aca="false">X1110*Y1110</f>
        <v>1.31155</v>
      </c>
    </row>
    <row r="1111" customFormat="false" ht="15" hidden="false" customHeight="false" outlineLevel="0" collapsed="false">
      <c r="Q1111" s="60"/>
      <c r="R1111" s="60"/>
      <c r="S1111" s="60"/>
      <c r="T1111" s="60"/>
      <c r="U1111" s="60"/>
      <c r="V1111" s="60"/>
      <c r="W1111" s="60"/>
      <c r="X1111" s="60"/>
      <c r="Y1111" s="60"/>
      <c r="Z1111" s="61" t="n">
        <f aca="false">SUM(Z1108:Z1110)</f>
        <v>4.92085</v>
      </c>
    </row>
    <row r="1113" customFormat="false" ht="15" hidden="false" customHeight="false" outlineLevel="0" collapsed="false">
      <c r="Q1113" s="14" t="s">
        <v>334</v>
      </c>
      <c r="R1113" s="14"/>
      <c r="S1113" s="14" t="s">
        <v>1313</v>
      </c>
      <c r="T1113" s="14"/>
      <c r="U1113" s="14"/>
      <c r="V1113" s="14"/>
      <c r="W1113" s="14"/>
      <c r="X1113" s="14"/>
      <c r="Y1113" s="14"/>
    </row>
    <row r="1114" customFormat="false" ht="15" hidden="false" customHeight="false" outlineLevel="0" collapsed="false">
      <c r="Q1114" s="14" t="s">
        <v>279</v>
      </c>
      <c r="R1114" s="14" t="s">
        <v>280</v>
      </c>
      <c r="S1114" s="36" t="s">
        <v>281</v>
      </c>
      <c r="T1114" s="52" t="n">
        <v>75</v>
      </c>
      <c r="U1114" s="36" t="s">
        <v>282</v>
      </c>
      <c r="V1114" s="52" t="n">
        <f aca="false">T1114</f>
        <v>75</v>
      </c>
      <c r="W1114" s="14" t="s">
        <v>283</v>
      </c>
      <c r="Y1114" s="36" t="s">
        <v>134</v>
      </c>
      <c r="Z1114" s="53" t="n">
        <f aca="false">Z1119+Z1122+Z1126</f>
        <v>23.1863666666667</v>
      </c>
    </row>
    <row r="1115" customFormat="false" ht="15" hidden="false" customHeight="false" outlineLevel="0" collapsed="false">
      <c r="Q1115" s="14" t="s">
        <v>284</v>
      </c>
      <c r="R1115" s="14" t="s">
        <v>285</v>
      </c>
      <c r="V1115" s="36" t="s">
        <v>123</v>
      </c>
      <c r="W1115" s="36" t="s">
        <v>286</v>
      </c>
      <c r="X1115" s="36" t="s">
        <v>287</v>
      </c>
      <c r="Y1115" s="36" t="s">
        <v>288</v>
      </c>
      <c r="Z1115" s="36" t="s">
        <v>289</v>
      </c>
    </row>
    <row r="1116" customFormat="false" ht="15" hidden="false" customHeight="false" outlineLevel="0" collapsed="false">
      <c r="R1116" s="54" t="s">
        <v>290</v>
      </c>
    </row>
    <row r="1117" customFormat="false" ht="15" hidden="false" customHeight="false" outlineLevel="0" collapsed="false">
      <c r="R1117" s="1" t="s">
        <v>1294</v>
      </c>
      <c r="V1117" s="55" t="s">
        <v>292</v>
      </c>
      <c r="W1117" s="56" t="n">
        <v>1</v>
      </c>
      <c r="X1117" s="57" t="n">
        <f aca="false">W1117*8/$T$1114</f>
        <v>0.106666666666667</v>
      </c>
      <c r="Y1117" s="28" t="n">
        <v>29.44</v>
      </c>
      <c r="Z1117" s="28" t="n">
        <f aca="false">X1117*Y1117</f>
        <v>3.14026666666667</v>
      </c>
    </row>
    <row r="1118" customFormat="false" ht="15" hidden="false" customHeight="false" outlineLevel="0" collapsed="false">
      <c r="R1118" s="1" t="s">
        <v>294</v>
      </c>
      <c r="V1118" s="55" t="s">
        <v>292</v>
      </c>
      <c r="W1118" s="56" t="n">
        <v>1</v>
      </c>
      <c r="X1118" s="57" t="n">
        <f aca="false">W1118*8/$T$1114</f>
        <v>0.106666666666667</v>
      </c>
      <c r="Y1118" s="28" t="n">
        <v>20.51</v>
      </c>
      <c r="Z1118" s="28" t="n">
        <f aca="false">X1118*Y1118</f>
        <v>2.18773333333333</v>
      </c>
    </row>
    <row r="1119" customFormat="false" ht="15" hidden="false" customHeight="false" outlineLevel="0" collapsed="false">
      <c r="Z1119" s="53" t="n">
        <f aca="false">SUM(Z1117:Z1118)</f>
        <v>5.328</v>
      </c>
    </row>
    <row r="1120" customFormat="false" ht="15" hidden="false" customHeight="false" outlineLevel="0" collapsed="false">
      <c r="R1120" s="54" t="s">
        <v>295</v>
      </c>
    </row>
    <row r="1121" customFormat="false" ht="15" hidden="false" customHeight="false" outlineLevel="0" collapsed="false">
      <c r="R1121" s="1" t="s">
        <v>1295</v>
      </c>
      <c r="V1121" s="55" t="s">
        <v>340</v>
      </c>
      <c r="X1121" s="57" t="n">
        <v>0.15</v>
      </c>
      <c r="Y1121" s="28" t="n">
        <v>14.83</v>
      </c>
      <c r="Z1121" s="28" t="n">
        <f aca="false">X1121*Y1121</f>
        <v>2.2245</v>
      </c>
    </row>
    <row r="1122" customFormat="false" ht="15" hidden="false" customHeight="false" outlineLevel="0" collapsed="false">
      <c r="V1122" s="55"/>
      <c r="Z1122" s="53" t="n">
        <f aca="false">SUM(Z1121:Z1121)</f>
        <v>2.2245</v>
      </c>
    </row>
    <row r="1123" customFormat="false" ht="15" hidden="false" customHeight="false" outlineLevel="0" collapsed="false">
      <c r="R1123" s="54" t="s">
        <v>318</v>
      </c>
    </row>
    <row r="1124" customFormat="false" ht="15" hidden="false" customHeight="false" outlineLevel="0" collapsed="false">
      <c r="R1124" s="1" t="s">
        <v>311</v>
      </c>
      <c r="V1124" s="55" t="s">
        <v>312</v>
      </c>
      <c r="X1124" s="57" t="n">
        <v>5</v>
      </c>
      <c r="Y1124" s="28" t="n">
        <f aca="false">Z1119</f>
        <v>5.328</v>
      </c>
      <c r="Z1124" s="28" t="n">
        <f aca="false">X1124%*Y1124</f>
        <v>0.2664</v>
      </c>
    </row>
    <row r="1125" customFormat="false" ht="15" hidden="false" customHeight="false" outlineLevel="0" collapsed="false">
      <c r="R1125" s="1" t="s">
        <v>1298</v>
      </c>
      <c r="V1125" s="55" t="s">
        <v>338</v>
      </c>
      <c r="W1125" s="56" t="n">
        <v>1</v>
      </c>
      <c r="X1125" s="57" t="n">
        <f aca="false">W1125*8/$T$1114</f>
        <v>0.106666666666667</v>
      </c>
      <c r="Y1125" s="28" t="n">
        <v>144.07</v>
      </c>
      <c r="Z1125" s="28" t="n">
        <f aca="false">X1125*Y1125</f>
        <v>15.3674666666667</v>
      </c>
    </row>
    <row r="1126" customFormat="false" ht="15" hidden="false" customHeight="false" outlineLevel="0" collapsed="false">
      <c r="Q1126" s="60"/>
      <c r="R1126" s="60"/>
      <c r="S1126" s="60"/>
      <c r="T1126" s="60"/>
      <c r="U1126" s="60"/>
      <c r="V1126" s="60"/>
      <c r="W1126" s="60"/>
      <c r="X1126" s="60"/>
      <c r="Y1126" s="60"/>
      <c r="Z1126" s="61" t="n">
        <f aca="false">SUM(Z1124:Z1125)</f>
        <v>15.6338666666667</v>
      </c>
    </row>
    <row r="1128" customFormat="false" ht="15" hidden="false" customHeight="false" outlineLevel="0" collapsed="false">
      <c r="Q1128" s="14" t="s">
        <v>334</v>
      </c>
      <c r="R1128" s="14"/>
      <c r="S1128" s="14" t="s">
        <v>1314</v>
      </c>
      <c r="T1128" s="14"/>
      <c r="U1128" s="14"/>
      <c r="V1128" s="14"/>
      <c r="W1128" s="14"/>
      <c r="X1128" s="14"/>
      <c r="Y1128" s="14"/>
    </row>
    <row r="1129" customFormat="false" ht="15" hidden="false" customHeight="false" outlineLevel="0" collapsed="false">
      <c r="Q1129" s="14" t="s">
        <v>279</v>
      </c>
      <c r="R1129" s="14" t="s">
        <v>417</v>
      </c>
      <c r="S1129" s="36" t="s">
        <v>281</v>
      </c>
      <c r="T1129" s="52" t="n">
        <v>120</v>
      </c>
      <c r="U1129" s="36" t="s">
        <v>282</v>
      </c>
      <c r="V1129" s="52" t="n">
        <f aca="false">T1129</f>
        <v>120</v>
      </c>
      <c r="W1129" s="14" t="s">
        <v>283</v>
      </c>
      <c r="Y1129" s="36" t="s">
        <v>204</v>
      </c>
      <c r="Z1129" s="53" t="n">
        <f aca="false">Z1135+Z1139+Z1145</f>
        <v>38.9417</v>
      </c>
    </row>
    <row r="1130" customFormat="false" ht="15" hidden="false" customHeight="false" outlineLevel="0" collapsed="false">
      <c r="Q1130" s="14" t="s">
        <v>284</v>
      </c>
      <c r="R1130" s="14" t="s">
        <v>285</v>
      </c>
      <c r="V1130" s="36" t="s">
        <v>123</v>
      </c>
      <c r="W1130" s="36" t="s">
        <v>286</v>
      </c>
      <c r="X1130" s="36" t="s">
        <v>287</v>
      </c>
      <c r="Y1130" s="36" t="s">
        <v>288</v>
      </c>
      <c r="Z1130" s="36" t="s">
        <v>289</v>
      </c>
    </row>
    <row r="1131" customFormat="false" ht="15" hidden="false" customHeight="false" outlineLevel="0" collapsed="false">
      <c r="R1131" s="54" t="s">
        <v>290</v>
      </c>
    </row>
    <row r="1132" customFormat="false" ht="15" hidden="false" customHeight="false" outlineLevel="0" collapsed="false">
      <c r="R1132" s="1" t="s">
        <v>1294</v>
      </c>
      <c r="V1132" s="55" t="s">
        <v>292</v>
      </c>
      <c r="W1132" s="56" t="n">
        <v>1</v>
      </c>
      <c r="X1132" s="57" t="n">
        <f aca="false">W1132*8/$T$1129</f>
        <v>0.0666666666666667</v>
      </c>
      <c r="Y1132" s="28" t="n">
        <v>29.44</v>
      </c>
      <c r="Z1132" s="28" t="n">
        <f aca="false">X1132*Y1132</f>
        <v>1.96266666666667</v>
      </c>
    </row>
    <row r="1133" customFormat="false" ht="15" hidden="false" customHeight="false" outlineLevel="0" collapsed="false">
      <c r="R1133" s="1" t="s">
        <v>293</v>
      </c>
      <c r="V1133" s="55" t="s">
        <v>292</v>
      </c>
      <c r="W1133" s="56" t="n">
        <v>1</v>
      </c>
      <c r="X1133" s="57" t="n">
        <f aca="false">W1133*8/$T$1129</f>
        <v>0.0666666666666667</v>
      </c>
      <c r="Y1133" s="28" t="n">
        <v>22.66</v>
      </c>
      <c r="Z1133" s="28" t="n">
        <f aca="false">X1133*Y1133</f>
        <v>1.51066666666667</v>
      </c>
    </row>
    <row r="1134" customFormat="false" ht="15" hidden="false" customHeight="false" outlineLevel="0" collapsed="false">
      <c r="R1134" s="1" t="s">
        <v>294</v>
      </c>
      <c r="V1134" s="55" t="s">
        <v>292</v>
      </c>
      <c r="W1134" s="56" t="n">
        <v>1</v>
      </c>
      <c r="X1134" s="57" t="n">
        <f aca="false">W1134*8/$T$1129</f>
        <v>0.0666666666666667</v>
      </c>
      <c r="Y1134" s="28" t="n">
        <v>20.51</v>
      </c>
      <c r="Z1134" s="28" t="n">
        <f aca="false">X1134*Y1134</f>
        <v>1.36733333333333</v>
      </c>
    </row>
    <row r="1135" customFormat="false" ht="15" hidden="false" customHeight="false" outlineLevel="0" collapsed="false">
      <c r="Z1135" s="53" t="n">
        <f aca="false">SUM(Z1132:Z1134)</f>
        <v>4.84066666666667</v>
      </c>
    </row>
    <row r="1136" customFormat="false" ht="15" hidden="false" customHeight="false" outlineLevel="0" collapsed="false">
      <c r="R1136" s="54" t="s">
        <v>295</v>
      </c>
    </row>
    <row r="1137" customFormat="false" ht="15" hidden="false" customHeight="false" outlineLevel="0" collapsed="false">
      <c r="R1137" s="1" t="s">
        <v>1295</v>
      </c>
      <c r="V1137" s="55" t="s">
        <v>340</v>
      </c>
      <c r="X1137" s="57" t="n">
        <v>0.5</v>
      </c>
      <c r="Y1137" s="28" t="n">
        <v>14.83</v>
      </c>
      <c r="Z1137" s="28" t="n">
        <f aca="false">X1137*Y1137</f>
        <v>7.415</v>
      </c>
    </row>
    <row r="1138" customFormat="false" ht="15" hidden="false" customHeight="false" outlineLevel="0" collapsed="false">
      <c r="R1138" s="1" t="s">
        <v>1315</v>
      </c>
      <c r="V1138" s="55" t="s">
        <v>150</v>
      </c>
      <c r="X1138" s="57" t="n">
        <v>0.5</v>
      </c>
      <c r="Y1138" s="28" t="n">
        <v>33.47</v>
      </c>
      <c r="Z1138" s="28" t="n">
        <f aca="false">X1138*Y1138</f>
        <v>16.735</v>
      </c>
    </row>
    <row r="1139" customFormat="false" ht="15" hidden="false" customHeight="false" outlineLevel="0" collapsed="false">
      <c r="V1139" s="55"/>
      <c r="Z1139" s="53" t="n">
        <f aca="false">SUM(Z1137:Z1138)</f>
        <v>24.15</v>
      </c>
    </row>
    <row r="1140" customFormat="false" ht="15" hidden="false" customHeight="false" outlineLevel="0" collapsed="false">
      <c r="R1140" s="54" t="s">
        <v>318</v>
      </c>
    </row>
    <row r="1141" customFormat="false" ht="15" hidden="false" customHeight="false" outlineLevel="0" collapsed="false">
      <c r="R1141" s="1" t="s">
        <v>311</v>
      </c>
      <c r="V1141" s="55" t="s">
        <v>312</v>
      </c>
      <c r="X1141" s="57" t="n">
        <v>5</v>
      </c>
      <c r="Y1141" s="28" t="n">
        <f aca="false">Z1135</f>
        <v>4.84066666666667</v>
      </c>
      <c r="Z1141" s="28" t="n">
        <f aca="false">X1141%*Y1141</f>
        <v>0.242033333333333</v>
      </c>
    </row>
    <row r="1142" customFormat="false" ht="15" hidden="false" customHeight="false" outlineLevel="0" collapsed="false">
      <c r="R1142" s="1" t="s">
        <v>1296</v>
      </c>
      <c r="V1142" s="55" t="s">
        <v>338</v>
      </c>
      <c r="W1142" s="56" t="n">
        <v>0.5</v>
      </c>
      <c r="X1142" s="57" t="n">
        <f aca="false">W1142*8/$T$1129</f>
        <v>0.0333333333333333</v>
      </c>
      <c r="Y1142" s="28" t="n">
        <v>237.29</v>
      </c>
      <c r="Z1142" s="28" t="n">
        <f aca="false">X1142*Y1142</f>
        <v>7.90966666666667</v>
      </c>
    </row>
    <row r="1143" customFormat="false" ht="15" hidden="false" customHeight="false" outlineLevel="0" collapsed="false">
      <c r="R1143" s="1" t="s">
        <v>1316</v>
      </c>
      <c r="V1143" s="55" t="s">
        <v>338</v>
      </c>
      <c r="W1143" s="56" t="n">
        <v>0.5</v>
      </c>
      <c r="X1143" s="57" t="n">
        <f aca="false">W1143*8/$T$1129</f>
        <v>0.0333333333333333</v>
      </c>
      <c r="Y1143" s="28" t="n">
        <v>28.98</v>
      </c>
      <c r="Z1143" s="28" t="n">
        <f aca="false">X1143*Y1143</f>
        <v>0.966</v>
      </c>
    </row>
    <row r="1144" customFormat="false" ht="15" hidden="false" customHeight="false" outlineLevel="0" collapsed="false">
      <c r="R1144" s="1" t="s">
        <v>1306</v>
      </c>
      <c r="V1144" s="55" t="s">
        <v>338</v>
      </c>
      <c r="W1144" s="56" t="n">
        <v>0.5</v>
      </c>
      <c r="X1144" s="57" t="n">
        <f aca="false">W1144*8/$T$1129</f>
        <v>0.0333333333333333</v>
      </c>
      <c r="Y1144" s="28" t="n">
        <v>25</v>
      </c>
      <c r="Z1144" s="28" t="n">
        <f aca="false">X1144*Y1144</f>
        <v>0.833333333333333</v>
      </c>
    </row>
    <row r="1145" customFormat="false" ht="15" hidden="false" customHeight="false" outlineLevel="0" collapsed="false">
      <c r="Q1145" s="60"/>
      <c r="R1145" s="60"/>
      <c r="S1145" s="60"/>
      <c r="T1145" s="60"/>
      <c r="U1145" s="60"/>
      <c r="V1145" s="60"/>
      <c r="W1145" s="60"/>
      <c r="X1145" s="60"/>
      <c r="Y1145" s="60"/>
      <c r="Z1145" s="61" t="n">
        <f aca="false">SUM(Z1141:Z1144)</f>
        <v>9.95103333333333</v>
      </c>
    </row>
    <row r="1147" customFormat="false" ht="15" hidden="false" customHeight="false" outlineLevel="0" collapsed="false">
      <c r="Q1147" s="14" t="s">
        <v>334</v>
      </c>
      <c r="R1147" s="14"/>
      <c r="S1147" s="14" t="s">
        <v>1317</v>
      </c>
      <c r="T1147" s="14"/>
      <c r="U1147" s="14"/>
      <c r="V1147" s="14"/>
      <c r="W1147" s="14"/>
      <c r="X1147" s="14"/>
      <c r="Y1147" s="14"/>
    </row>
    <row r="1148" customFormat="false" ht="15" hidden="false" customHeight="false" outlineLevel="0" collapsed="false">
      <c r="Q1148" s="14" t="s">
        <v>279</v>
      </c>
      <c r="R1148" s="14" t="s">
        <v>280</v>
      </c>
      <c r="S1148" s="36" t="s">
        <v>281</v>
      </c>
      <c r="T1148" s="52" t="n">
        <v>620</v>
      </c>
      <c r="U1148" s="36" t="s">
        <v>282</v>
      </c>
      <c r="V1148" s="52" t="n">
        <f aca="false">T1148</f>
        <v>620</v>
      </c>
      <c r="W1148" s="14" t="s">
        <v>283</v>
      </c>
      <c r="Y1148" s="36" t="s">
        <v>134</v>
      </c>
      <c r="Z1148" s="53" t="n">
        <f aca="false">Z1153+Z1156+Z1161</f>
        <v>22.4164451612903</v>
      </c>
    </row>
    <row r="1149" customFormat="false" ht="15" hidden="false" customHeight="false" outlineLevel="0" collapsed="false">
      <c r="Q1149" s="14" t="s">
        <v>284</v>
      </c>
      <c r="R1149" s="14" t="s">
        <v>285</v>
      </c>
      <c r="V1149" s="36" t="s">
        <v>123</v>
      </c>
      <c r="W1149" s="36" t="s">
        <v>286</v>
      </c>
      <c r="X1149" s="36" t="s">
        <v>287</v>
      </c>
      <c r="Y1149" s="36" t="s">
        <v>288</v>
      </c>
      <c r="Z1149" s="36" t="s">
        <v>289</v>
      </c>
    </row>
    <row r="1150" customFormat="false" ht="15" hidden="false" customHeight="false" outlineLevel="0" collapsed="false">
      <c r="R1150" s="54" t="s">
        <v>290</v>
      </c>
    </row>
    <row r="1151" customFormat="false" ht="15" hidden="false" customHeight="false" outlineLevel="0" collapsed="false">
      <c r="R1151" s="1" t="s">
        <v>1294</v>
      </c>
      <c r="V1151" s="55" t="s">
        <v>292</v>
      </c>
      <c r="W1151" s="56" t="n">
        <v>7</v>
      </c>
      <c r="X1151" s="57" t="n">
        <f aca="false">W1151*8/$T$1148</f>
        <v>0.0903225806451613</v>
      </c>
      <c r="Y1151" s="28" t="n">
        <v>29.44</v>
      </c>
      <c r="Z1151" s="28" t="n">
        <f aca="false">X1151*Y1151</f>
        <v>2.65909677419355</v>
      </c>
    </row>
    <row r="1152" customFormat="false" ht="15" hidden="false" customHeight="false" outlineLevel="0" collapsed="false">
      <c r="R1152" s="1" t="s">
        <v>294</v>
      </c>
      <c r="V1152" s="55" t="s">
        <v>292</v>
      </c>
      <c r="W1152" s="56" t="n">
        <v>2</v>
      </c>
      <c r="X1152" s="57" t="n">
        <f aca="false">W1152*8/$T$1148</f>
        <v>0.0258064516129032</v>
      </c>
      <c r="Y1152" s="28" t="n">
        <v>20.51</v>
      </c>
      <c r="Z1152" s="28" t="n">
        <f aca="false">X1152*Y1152</f>
        <v>0.529290322580645</v>
      </c>
    </row>
    <row r="1153" customFormat="false" ht="15" hidden="false" customHeight="false" outlineLevel="0" collapsed="false">
      <c r="Z1153" s="53" t="n">
        <f aca="false">SUM(Z1151:Z1152)</f>
        <v>3.18838709677419</v>
      </c>
    </row>
    <row r="1154" customFormat="false" ht="15" hidden="false" customHeight="false" outlineLevel="0" collapsed="false">
      <c r="R1154" s="54" t="s">
        <v>295</v>
      </c>
    </row>
    <row r="1155" customFormat="false" ht="15" hidden="false" customHeight="false" outlineLevel="0" collapsed="false">
      <c r="R1155" s="1" t="s">
        <v>1295</v>
      </c>
      <c r="V1155" s="55" t="s">
        <v>340</v>
      </c>
      <c r="X1155" s="57" t="n">
        <v>0.46</v>
      </c>
      <c r="Y1155" s="28" t="n">
        <v>14.83</v>
      </c>
      <c r="Z1155" s="28" t="n">
        <f aca="false">X1155*Y1155</f>
        <v>6.8218</v>
      </c>
    </row>
    <row r="1156" customFormat="false" ht="15" hidden="false" customHeight="false" outlineLevel="0" collapsed="false">
      <c r="V1156" s="55"/>
      <c r="Z1156" s="53" t="n">
        <f aca="false">SUM(Z1155:Z1155)</f>
        <v>6.8218</v>
      </c>
    </row>
    <row r="1157" customFormat="false" ht="15" hidden="false" customHeight="false" outlineLevel="0" collapsed="false">
      <c r="R1157" s="54" t="s">
        <v>318</v>
      </c>
    </row>
    <row r="1158" customFormat="false" ht="15" hidden="false" customHeight="false" outlineLevel="0" collapsed="false">
      <c r="R1158" s="1" t="s">
        <v>311</v>
      </c>
      <c r="V1158" s="55" t="s">
        <v>312</v>
      </c>
      <c r="X1158" s="57" t="n">
        <v>5</v>
      </c>
      <c r="Y1158" s="28" t="n">
        <f aca="false">Z1153</f>
        <v>3.18838709677419</v>
      </c>
      <c r="Z1158" s="28" t="n">
        <f aca="false">X1158%*Y1158</f>
        <v>0.15941935483871</v>
      </c>
    </row>
    <row r="1159" customFormat="false" ht="15" hidden="false" customHeight="false" outlineLevel="0" collapsed="false">
      <c r="R1159" s="1" t="s">
        <v>337</v>
      </c>
      <c r="V1159" s="55" t="s">
        <v>338</v>
      </c>
      <c r="W1159" s="56" t="n">
        <v>6</v>
      </c>
      <c r="X1159" s="57" t="n">
        <f aca="false">W1159*8/$T$1148</f>
        <v>0.0774193548387097</v>
      </c>
      <c r="Y1159" s="28" t="n">
        <v>118.64</v>
      </c>
      <c r="Z1159" s="28" t="n">
        <f aca="false">X1159*Y1159</f>
        <v>9.18503225806452</v>
      </c>
    </row>
    <row r="1160" customFormat="false" ht="15" hidden="false" customHeight="false" outlineLevel="0" collapsed="false">
      <c r="R1160" s="1" t="s">
        <v>1296</v>
      </c>
      <c r="V1160" s="55" t="s">
        <v>338</v>
      </c>
      <c r="W1160" s="56" t="n">
        <v>1</v>
      </c>
      <c r="X1160" s="57" t="n">
        <f aca="false">W1160*8/$T$1148</f>
        <v>0.0129032258064516</v>
      </c>
      <c r="Y1160" s="28" t="n">
        <v>237.29</v>
      </c>
      <c r="Z1160" s="28" t="n">
        <f aca="false">X1160*Y1160</f>
        <v>3.0618064516129</v>
      </c>
    </row>
    <row r="1161" customFormat="false" ht="15" hidden="false" customHeight="false" outlineLevel="0" collapsed="false">
      <c r="Q1161" s="60"/>
      <c r="R1161" s="60"/>
      <c r="S1161" s="60"/>
      <c r="T1161" s="60"/>
      <c r="U1161" s="60"/>
      <c r="V1161" s="60"/>
      <c r="W1161" s="60"/>
      <c r="X1161" s="60"/>
      <c r="Y1161" s="60"/>
      <c r="Z1161" s="61" t="n">
        <f aca="false">SUM(Z1158:Z1160)</f>
        <v>12.4062580645161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A1:BA726"/>
  <sheetViews>
    <sheetView showFormulas="false" showGridLines="true" showRowColHeaders="true" showZeros="true" rightToLeft="false" tabSelected="false" showOutlineSymbols="true" defaultGridColor="true" view="normal" topLeftCell="A11" colorId="64" zoomScale="100" zoomScaleNormal="100" zoomScalePageLayoutView="100" workbookViewId="0">
      <selection pane="topLeft" activeCell="G5" activeCellId="0" sqref="G5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8.72"/>
    <col collapsed="false" customWidth="true" hidden="false" outlineLevel="0" max="5" min="5" style="1" width="11.15"/>
    <col collapsed="false" customWidth="true" hidden="false" outlineLevel="0" max="6" min="6" style="1" width="16.57"/>
    <col collapsed="false" customWidth="true" hidden="false" outlineLevel="0" max="7" min="7" style="1" width="13.57"/>
    <col collapsed="false" customWidth="true" hidden="false" outlineLevel="0" max="9" min="9" style="1" width="29"/>
    <col collapsed="false" customWidth="true" hidden="false" outlineLevel="0" max="10" min="10" style="1" width="11.86"/>
    <col collapsed="false" customWidth="true" hidden="false" outlineLevel="0" max="11" min="11" style="1" width="15.28"/>
    <col collapsed="false" customWidth="true" hidden="false" outlineLevel="0" max="12" min="12" style="1" width="10.86"/>
    <col collapsed="false" customWidth="true" hidden="false" outlineLevel="0" max="20" min="20" style="1" width="10.43"/>
    <col collapsed="false" customWidth="true" hidden="false" outlineLevel="0" max="21" min="21" style="1" width="12.29"/>
    <col collapsed="false" customWidth="true" hidden="false" outlineLevel="0" max="22" min="22" style="1" width="14.86"/>
    <col collapsed="false" customWidth="true" hidden="false" outlineLevel="0" max="27" min="27" style="1" width="9.3"/>
    <col collapsed="false" customWidth="true" hidden="false" outlineLevel="0" max="28" min="28" style="1" width="11"/>
    <col collapsed="false" customWidth="true" hidden="false" outlineLevel="0" max="29" min="29" style="1" width="11.15"/>
    <col collapsed="false" customWidth="true" hidden="false" outlineLevel="0" max="31" min="31" style="1" width="13.71"/>
    <col collapsed="false" customWidth="true" hidden="false" outlineLevel="0" max="32" min="32" style="1" width="14.86"/>
    <col collapsed="false" customWidth="true" hidden="false" outlineLevel="0" max="33" min="33" style="1" width="10.43"/>
    <col collapsed="false" customWidth="true" hidden="false" outlineLevel="0" max="39" min="39" style="1" width="10.43"/>
  </cols>
  <sheetData>
    <row r="1" customFormat="false" ht="15" hidden="false" customHeight="false" outlineLevel="0" collapsed="false">
      <c r="B1" s="36" t="s">
        <v>1221</v>
      </c>
      <c r="C1" s="36" t="s">
        <v>123</v>
      </c>
      <c r="D1" s="36" t="s">
        <v>124</v>
      </c>
      <c r="E1" s="36" t="s">
        <v>125</v>
      </c>
      <c r="F1" s="36" t="s">
        <v>454</v>
      </c>
      <c r="G1" s="36" t="s">
        <v>455</v>
      </c>
      <c r="H1" s="6"/>
      <c r="I1" s="6"/>
      <c r="J1" s="6"/>
      <c r="K1" s="6"/>
      <c r="L1" s="6"/>
      <c r="M1" s="6"/>
      <c r="N1" s="6"/>
      <c r="O1" s="6"/>
      <c r="P1" s="6"/>
      <c r="Q1" s="6"/>
    </row>
    <row r="2" customFormat="false" ht="15" hidden="false" customHeight="false" outlineLevel="0" collapsed="false">
      <c r="A2" s="15"/>
      <c r="I2" s="157" t="s">
        <v>1318</v>
      </c>
      <c r="J2" s="157" t="n">
        <f aca="false">'Datos iniciales '!E72</f>
        <v>2080.9</v>
      </c>
      <c r="M2" s="14"/>
      <c r="N2" s="14"/>
      <c r="O2" s="14"/>
      <c r="P2" s="14"/>
      <c r="X2" s="14"/>
      <c r="Y2" s="14"/>
      <c r="Z2" s="14"/>
      <c r="AA2" s="14"/>
      <c r="AJ2" s="14"/>
      <c r="AK2" s="14"/>
      <c r="AL2" s="14"/>
      <c r="AM2" s="14"/>
      <c r="AQ2" s="57"/>
    </row>
    <row r="3" customFormat="false" ht="15" hidden="false" customHeight="false" outlineLevel="0" collapsed="false">
      <c r="A3" s="15" t="s">
        <v>591</v>
      </c>
      <c r="I3" s="157" t="s">
        <v>1319</v>
      </c>
      <c r="J3" s="157" t="n">
        <f aca="false">'Datos iniciales '!E73</f>
        <v>4066.1</v>
      </c>
      <c r="M3" s="14"/>
      <c r="N3" s="14"/>
      <c r="O3" s="36"/>
      <c r="P3" s="52"/>
      <c r="Q3" s="36"/>
      <c r="R3" s="52"/>
      <c r="S3" s="14"/>
      <c r="U3" s="36"/>
      <c r="V3" s="53"/>
      <c r="X3" s="14"/>
      <c r="Y3" s="14"/>
      <c r="Z3" s="36"/>
      <c r="AA3" s="52"/>
      <c r="AB3" s="36"/>
      <c r="AC3" s="52"/>
      <c r="AD3" s="14"/>
      <c r="AF3" s="36"/>
      <c r="AG3" s="53"/>
      <c r="AJ3" s="14"/>
      <c r="AK3" s="14"/>
      <c r="AL3" s="36"/>
      <c r="AM3" s="52"/>
      <c r="AN3" s="36"/>
      <c r="AO3" s="52"/>
      <c r="AP3" s="14"/>
      <c r="AQ3" s="57"/>
      <c r="AR3" s="36"/>
      <c r="AS3" s="53"/>
    </row>
    <row r="4" customFormat="false" ht="15" hidden="false" customHeight="false" outlineLevel="0" collapsed="false">
      <c r="A4" s="168" t="s">
        <v>1320</v>
      </c>
      <c r="E4" s="28"/>
      <c r="G4" s="169" t="n">
        <f aca="false">SUM(F5:F7)</f>
        <v>155976.1589168</v>
      </c>
      <c r="I4" s="157" t="s">
        <v>1321</v>
      </c>
      <c r="J4" s="157" t="n">
        <f aca="false">'Datos iniciales '!E74</f>
        <v>10</v>
      </c>
      <c r="M4" s="14" t="s">
        <v>278</v>
      </c>
      <c r="N4" s="14"/>
      <c r="O4" s="14" t="s">
        <v>1322</v>
      </c>
      <c r="P4" s="14"/>
      <c r="Q4" s="14"/>
      <c r="R4" s="14"/>
      <c r="S4" s="14"/>
      <c r="T4" s="14"/>
      <c r="U4" s="14"/>
      <c r="AK4" s="14"/>
      <c r="AO4" s="36"/>
      <c r="AP4" s="36"/>
      <c r="AQ4" s="170"/>
      <c r="AR4" s="36"/>
      <c r="AS4" s="36"/>
    </row>
    <row r="5" customFormat="false" ht="15" hidden="false" customHeight="false" outlineLevel="0" collapsed="false">
      <c r="A5" s="1" t="s">
        <v>827</v>
      </c>
      <c r="B5" s="1" t="n">
        <v>1.5</v>
      </c>
      <c r="C5" s="55" t="s">
        <v>134</v>
      </c>
      <c r="D5" s="1" t="n">
        <f aca="false">B5*$J$2</f>
        <v>3121.35</v>
      </c>
      <c r="E5" s="28" t="n">
        <f aca="false">U8</f>
        <v>13.4785886933566</v>
      </c>
      <c r="F5" s="56" t="n">
        <f aca="false">D5*E5</f>
        <v>42071.3928180085</v>
      </c>
      <c r="I5" s="157" t="s">
        <v>1323</v>
      </c>
      <c r="J5" s="157" t="n">
        <f aca="false">'Datos iniciales '!E75</f>
        <v>99.2</v>
      </c>
      <c r="M5" s="14" t="s">
        <v>279</v>
      </c>
      <c r="N5" s="14" t="s">
        <v>280</v>
      </c>
      <c r="O5" s="36" t="s">
        <v>281</v>
      </c>
      <c r="P5" s="52" t="n">
        <v>1</v>
      </c>
      <c r="Q5" s="36" t="s">
        <v>282</v>
      </c>
      <c r="R5" s="52" t="n">
        <f aca="false">P5</f>
        <v>1</v>
      </c>
      <c r="S5" s="14" t="s">
        <v>283</v>
      </c>
      <c r="U5" s="36" t="s">
        <v>134</v>
      </c>
      <c r="V5" s="53" t="n">
        <f aca="false">V11</f>
        <v>74.9561050107166</v>
      </c>
      <c r="X5" s="14" t="s">
        <v>1324</v>
      </c>
      <c r="Y5" s="14"/>
      <c r="Z5" s="14" t="s">
        <v>827</v>
      </c>
      <c r="AA5" s="14"/>
      <c r="AB5" s="14"/>
      <c r="AC5" s="14"/>
      <c r="AD5" s="14"/>
      <c r="AE5" s="14"/>
      <c r="AF5" s="14"/>
      <c r="AK5" s="54"/>
      <c r="AQ5" s="57"/>
    </row>
    <row r="6" customFormat="false" ht="15" hidden="false" customHeight="false" outlineLevel="0" collapsed="false">
      <c r="A6" s="1" t="s">
        <v>829</v>
      </c>
      <c r="B6" s="1" t="n">
        <v>0.5</v>
      </c>
      <c r="C6" s="55" t="s">
        <v>150</v>
      </c>
      <c r="D6" s="1" t="n">
        <f aca="false">B6*$J$2</f>
        <v>1040.45</v>
      </c>
      <c r="E6" s="28" t="n">
        <f aca="false">U9</f>
        <v>73.8521214933566</v>
      </c>
      <c r="F6" s="56" t="n">
        <f aca="false">D6*E6</f>
        <v>76839.4398077628</v>
      </c>
      <c r="I6" s="157" t="s">
        <v>1321</v>
      </c>
      <c r="J6" s="157" t="n">
        <f aca="false">'Datos iniciales '!E76</f>
        <v>11</v>
      </c>
      <c r="M6" s="14" t="s">
        <v>284</v>
      </c>
      <c r="N6" s="14" t="s">
        <v>285</v>
      </c>
      <c r="R6" s="36" t="s">
        <v>123</v>
      </c>
      <c r="S6" s="36" t="s">
        <v>286</v>
      </c>
      <c r="T6" s="36" t="s">
        <v>287</v>
      </c>
      <c r="U6" s="36" t="s">
        <v>288</v>
      </c>
      <c r="V6" s="36" t="s">
        <v>289</v>
      </c>
      <c r="X6" s="14" t="s">
        <v>279</v>
      </c>
      <c r="Y6" s="14" t="s">
        <v>280</v>
      </c>
      <c r="Z6" s="36" t="s">
        <v>281</v>
      </c>
      <c r="AA6" s="52" t="n">
        <v>100</v>
      </c>
      <c r="AB6" s="36" t="s">
        <v>282</v>
      </c>
      <c r="AC6" s="52" t="n">
        <f aca="false">AA6</f>
        <v>100</v>
      </c>
      <c r="AD6" s="14" t="s">
        <v>283</v>
      </c>
      <c r="AF6" s="36" t="s">
        <v>134</v>
      </c>
      <c r="AG6" s="53" t="n">
        <f aca="false">AG12+AG16+AG19</f>
        <v>13.4785886933566</v>
      </c>
      <c r="AO6" s="55"/>
      <c r="AQ6" s="99"/>
      <c r="AR6" s="171"/>
      <c r="AS6" s="28"/>
    </row>
    <row r="7" customFormat="false" ht="15" hidden="false" customHeight="false" outlineLevel="0" collapsed="false">
      <c r="A7" s="1" t="s">
        <v>831</v>
      </c>
      <c r="B7" s="1" t="n">
        <v>0.15</v>
      </c>
      <c r="C7" s="55" t="s">
        <v>150</v>
      </c>
      <c r="D7" s="1" t="n">
        <f aca="false">B7*$J$2</f>
        <v>312.135</v>
      </c>
      <c r="E7" s="28" t="n">
        <f aca="false">U10</f>
        <v>118.747741493357</v>
      </c>
      <c r="F7" s="56" t="n">
        <f aca="false">D7*E7</f>
        <v>37065.3262910289</v>
      </c>
      <c r="I7" s="157" t="s">
        <v>1325</v>
      </c>
      <c r="J7" s="157" t="n">
        <f aca="false">'Datos iniciales '!E77</f>
        <v>3</v>
      </c>
      <c r="N7" s="54" t="s">
        <v>737</v>
      </c>
      <c r="X7" s="14" t="s">
        <v>284</v>
      </c>
      <c r="Y7" s="14" t="s">
        <v>285</v>
      </c>
      <c r="AC7" s="36" t="s">
        <v>123</v>
      </c>
      <c r="AD7" s="36" t="s">
        <v>286</v>
      </c>
      <c r="AE7" s="36" t="s">
        <v>287</v>
      </c>
      <c r="AF7" s="36" t="s">
        <v>288</v>
      </c>
      <c r="AG7" s="36" t="s">
        <v>289</v>
      </c>
      <c r="AO7" s="55"/>
      <c r="AP7" s="56"/>
      <c r="AQ7" s="57"/>
      <c r="AS7" s="53"/>
    </row>
    <row r="8" customFormat="false" ht="15" hidden="false" customHeight="false" outlineLevel="0" collapsed="false">
      <c r="A8" s="168" t="s">
        <v>1319</v>
      </c>
      <c r="C8" s="1" t="s">
        <v>134</v>
      </c>
      <c r="G8" s="53" t="n">
        <f aca="false">SUM(F9:F21)</f>
        <v>661611.01237338</v>
      </c>
      <c r="I8" s="157" t="s">
        <v>1326</v>
      </c>
      <c r="J8" s="157" t="n">
        <f aca="false">'Datos iniciales '!E78</f>
        <v>481.71</v>
      </c>
      <c r="N8" s="1" t="s">
        <v>827</v>
      </c>
      <c r="R8" s="55" t="s">
        <v>134</v>
      </c>
      <c r="S8" s="56"/>
      <c r="T8" s="57" t="n">
        <v>1.5</v>
      </c>
      <c r="U8" s="28" t="n">
        <f aca="false">AG6</f>
        <v>13.4785886933566</v>
      </c>
      <c r="V8" s="28" t="n">
        <f aca="false">T8*U8</f>
        <v>20.2178830400349</v>
      </c>
      <c r="Y8" s="54" t="s">
        <v>290</v>
      </c>
    </row>
    <row r="9" customFormat="false" ht="15" hidden="false" customHeight="false" outlineLevel="0" collapsed="false">
      <c r="B9" s="57"/>
      <c r="C9" s="55"/>
      <c r="E9" s="28"/>
      <c r="F9" s="56"/>
      <c r="I9" s="157" t="s">
        <v>1327</v>
      </c>
      <c r="J9" s="157" t="n">
        <f aca="false">'Datos iniciales '!E79</f>
        <v>10</v>
      </c>
      <c r="N9" s="1" t="s">
        <v>829</v>
      </c>
      <c r="R9" s="55" t="s">
        <v>150</v>
      </c>
      <c r="S9" s="56"/>
      <c r="T9" s="57" t="n">
        <v>0.5</v>
      </c>
      <c r="U9" s="28" t="n">
        <f aca="false">AG22</f>
        <v>73.8521214933566</v>
      </c>
      <c r="V9" s="28" t="n">
        <f aca="false">T9*U9</f>
        <v>36.9260607466783</v>
      </c>
      <c r="Y9" s="1" t="s">
        <v>651</v>
      </c>
      <c r="AC9" s="55" t="s">
        <v>292</v>
      </c>
      <c r="AD9" s="56" t="n">
        <v>0.1</v>
      </c>
      <c r="AE9" s="57" t="n">
        <f aca="false">AD9*8/$AA$6</f>
        <v>0.008</v>
      </c>
      <c r="AF9" s="28" t="n">
        <v>34.73</v>
      </c>
      <c r="AG9" s="28" t="n">
        <f aca="false">AE9*AF9</f>
        <v>0.27784</v>
      </c>
      <c r="AK9" s="14"/>
      <c r="AL9" s="14"/>
      <c r="AM9" s="14"/>
      <c r="AN9" s="14"/>
      <c r="AO9" s="14"/>
      <c r="AP9" s="14"/>
      <c r="AQ9" s="14"/>
      <c r="AR9" s="14"/>
    </row>
    <row r="10" customFormat="false" ht="15" hidden="false" customHeight="false" outlineLevel="0" collapsed="false">
      <c r="B10" s="57"/>
      <c r="C10" s="55"/>
      <c r="E10" s="28"/>
      <c r="F10" s="56"/>
      <c r="I10" s="157" t="s">
        <v>1328</v>
      </c>
      <c r="J10" s="157" t="n">
        <f aca="false">'Datos iniciales '!E80</f>
        <v>10</v>
      </c>
      <c r="N10" s="1" t="s">
        <v>831</v>
      </c>
      <c r="R10" s="55" t="s">
        <v>150</v>
      </c>
      <c r="S10" s="56"/>
      <c r="T10" s="57" t="n">
        <v>0.15</v>
      </c>
      <c r="U10" s="28" t="n">
        <f aca="false">AG39</f>
        <v>118.747741493357</v>
      </c>
      <c r="V10" s="28" t="n">
        <f aca="false">T10*U10</f>
        <v>17.8121612240035</v>
      </c>
      <c r="Y10" s="1" t="s">
        <v>680</v>
      </c>
      <c r="AC10" s="55" t="s">
        <v>292</v>
      </c>
      <c r="AD10" s="56" t="n">
        <v>1</v>
      </c>
      <c r="AE10" s="57" t="n">
        <f aca="false">AD10*8/$AA$6</f>
        <v>0.08</v>
      </c>
      <c r="AF10" s="28" t="n">
        <v>22.66</v>
      </c>
      <c r="AG10" s="28" t="n">
        <f aca="false">AE10*AF10</f>
        <v>1.8128</v>
      </c>
      <c r="AK10" s="14"/>
      <c r="AL10" s="36"/>
      <c r="AM10" s="52"/>
      <c r="AN10" s="36"/>
      <c r="AO10" s="52"/>
      <c r="AP10" s="14"/>
      <c r="AR10" s="36"/>
      <c r="AS10" s="53"/>
    </row>
    <row r="11" customFormat="false" ht="15" hidden="false" customHeight="false" outlineLevel="0" collapsed="false">
      <c r="A11" s="1" t="s">
        <v>1329</v>
      </c>
      <c r="B11" s="57" t="n">
        <v>1</v>
      </c>
      <c r="C11" s="55" t="s">
        <v>204</v>
      </c>
      <c r="D11" s="1" t="n">
        <f aca="false">B11*$J$3</f>
        <v>4066.1</v>
      </c>
      <c r="E11" s="28" t="n">
        <f aca="false">U61</f>
        <v>7.930344</v>
      </c>
      <c r="F11" s="56" t="n">
        <f aca="false">D11*E11</f>
        <v>32245.5717384</v>
      </c>
      <c r="I11" s="157" t="s">
        <v>1330</v>
      </c>
      <c r="J11" s="157" t="n">
        <f aca="false">'Datos iniciales '!E81</f>
        <v>1</v>
      </c>
      <c r="M11" s="60"/>
      <c r="N11" s="60"/>
      <c r="O11" s="60"/>
      <c r="P11" s="60"/>
      <c r="Q11" s="60"/>
      <c r="R11" s="60"/>
      <c r="S11" s="60"/>
      <c r="T11" s="60"/>
      <c r="U11" s="60"/>
      <c r="V11" s="61" t="n">
        <f aca="false">SUM(V8:V10)</f>
        <v>74.9561050107166</v>
      </c>
      <c r="Y11" s="1" t="s">
        <v>294</v>
      </c>
      <c r="AC11" s="55" t="s">
        <v>292</v>
      </c>
      <c r="AD11" s="56" t="n">
        <v>1</v>
      </c>
      <c r="AE11" s="57" t="n">
        <f aca="false">AD11*8/$AA$6</f>
        <v>0.08</v>
      </c>
      <c r="AF11" s="28" t="n">
        <v>20.51</v>
      </c>
      <c r="AG11" s="28" t="n">
        <f aca="false">AE11*AF11</f>
        <v>1.6408</v>
      </c>
      <c r="AK11" s="14"/>
      <c r="AO11" s="36"/>
      <c r="AP11" s="36"/>
      <c r="AQ11" s="36"/>
      <c r="AR11" s="36"/>
      <c r="AS11" s="36"/>
    </row>
    <row r="12" customFormat="false" ht="15" hidden="false" customHeight="false" outlineLevel="0" collapsed="false">
      <c r="A12" s="1" t="s">
        <v>1331</v>
      </c>
      <c r="B12" s="57" t="n">
        <v>0.33</v>
      </c>
      <c r="C12" s="55" t="s">
        <v>204</v>
      </c>
      <c r="D12" s="1" t="n">
        <f aca="false">B12*$J$3</f>
        <v>1341.813</v>
      </c>
      <c r="E12" s="28" t="n">
        <f aca="false">U62</f>
        <v>77.2277048</v>
      </c>
      <c r="F12" s="56" t="n">
        <f aca="false">D12*E12</f>
        <v>103625.138260802</v>
      </c>
      <c r="I12" s="157" t="s">
        <v>1332</v>
      </c>
      <c r="J12" s="157" t="n">
        <f aca="false">'Datos iniciales '!E82</f>
        <v>10</v>
      </c>
      <c r="R12" s="55"/>
      <c r="S12" s="56"/>
      <c r="T12" s="57"/>
      <c r="U12" s="28"/>
      <c r="V12" s="28"/>
      <c r="AC12" s="55"/>
      <c r="AG12" s="53" t="n">
        <f aca="false">SUM(AG9:AG11)</f>
        <v>3.73144</v>
      </c>
      <c r="AK12" s="54"/>
    </row>
    <row r="13" customFormat="false" ht="15" hidden="false" customHeight="false" outlineLevel="0" collapsed="false">
      <c r="A13" s="1" t="s">
        <v>594</v>
      </c>
      <c r="B13" s="57" t="n">
        <v>0.22</v>
      </c>
      <c r="C13" s="55" t="s">
        <v>134</v>
      </c>
      <c r="D13" s="1" t="n">
        <f aca="false">B13*$J$3</f>
        <v>894.542</v>
      </c>
      <c r="E13" s="28" t="n">
        <f aca="false">U63</f>
        <v>445.669224</v>
      </c>
      <c r="F13" s="56" t="n">
        <f aca="false">D13*E13</f>
        <v>398669.838975408</v>
      </c>
      <c r="I13" s="157" t="s">
        <v>1333</v>
      </c>
      <c r="J13" s="157" t="n">
        <f aca="false">'Datos iniciales '!B3</f>
        <v>3459.53</v>
      </c>
      <c r="Y13" s="54" t="s">
        <v>295</v>
      </c>
      <c r="AC13" s="55"/>
      <c r="AO13" s="55"/>
      <c r="AP13" s="56"/>
      <c r="AQ13" s="57"/>
      <c r="AR13" s="28"/>
      <c r="AS13" s="28"/>
    </row>
    <row r="14" customFormat="false" ht="15" hidden="false" customHeight="false" outlineLevel="0" collapsed="false">
      <c r="A14" s="1" t="s">
        <v>596</v>
      </c>
      <c r="B14" s="57" t="n">
        <v>0.0144</v>
      </c>
      <c r="C14" s="55" t="s">
        <v>204</v>
      </c>
      <c r="D14" s="1" t="n">
        <f aca="false">B14*$J$3</f>
        <v>58.55184</v>
      </c>
      <c r="E14" s="28" t="n">
        <f aca="false">U64</f>
        <v>445.669224</v>
      </c>
      <c r="F14" s="56" t="n">
        <f aca="false">D14*E14</f>
        <v>26094.7530965722</v>
      </c>
      <c r="I14" s="157" t="s">
        <v>1334</v>
      </c>
      <c r="J14" s="157" t="n">
        <f aca="false">'Datos iniciales '!C3</f>
        <v>2248.76</v>
      </c>
      <c r="Y14" s="1" t="s">
        <v>656</v>
      </c>
      <c r="AC14" s="55" t="s">
        <v>204</v>
      </c>
      <c r="AE14" s="57" t="n">
        <v>0.033</v>
      </c>
      <c r="AF14" s="28" t="n">
        <v>6.14</v>
      </c>
      <c r="AG14" s="28" t="n">
        <f aca="false">AE14*AF14</f>
        <v>0.20262</v>
      </c>
      <c r="AO14" s="55"/>
      <c r="AP14" s="56"/>
      <c r="AQ14" s="57"/>
      <c r="AR14" s="28"/>
      <c r="AS14" s="28"/>
    </row>
    <row r="15" customFormat="false" ht="15" hidden="false" customHeight="false" outlineLevel="0" collapsed="false">
      <c r="A15" s="1" t="s">
        <v>598</v>
      </c>
      <c r="B15" s="57" t="n">
        <v>0.0766</v>
      </c>
      <c r="C15" s="55" t="s">
        <v>134</v>
      </c>
      <c r="D15" s="1" t="n">
        <f aca="false">B15*$J$3</f>
        <v>311.46326</v>
      </c>
      <c r="E15" s="28" t="n">
        <f aca="false">U65</f>
        <v>118.0135648</v>
      </c>
      <c r="F15" s="56" t="n">
        <f aca="false">D15*E15</f>
        <v>36756.8896168293</v>
      </c>
      <c r="I15" s="157" t="s">
        <v>1335</v>
      </c>
      <c r="J15" s="157" t="n">
        <f aca="false">INDEX('Datos iniciales '!C5:C8,MATCH(MAX('Datos iniciales '!B5:B8),'Datos iniciales '!B5:B8,0))</f>
        <v>3</v>
      </c>
      <c r="K15" s="56"/>
      <c r="Y15" s="1" t="s">
        <v>958</v>
      </c>
      <c r="AC15" s="55" t="s">
        <v>204</v>
      </c>
      <c r="AE15" s="57" t="n">
        <v>0.15</v>
      </c>
      <c r="AF15" s="28" t="n">
        <v>62.8839032890438</v>
      </c>
      <c r="AG15" s="28" t="n">
        <f aca="false">AE15*AF15</f>
        <v>9.43258549335657</v>
      </c>
      <c r="AO15" s="55"/>
      <c r="AP15" s="56"/>
      <c r="AQ15" s="57"/>
      <c r="AR15" s="28"/>
      <c r="AS15" s="28"/>
    </row>
    <row r="16" customFormat="false" ht="15" hidden="false" customHeight="false" outlineLevel="0" collapsed="false">
      <c r="A16" s="1" t="s">
        <v>600</v>
      </c>
      <c r="B16" s="57" t="n">
        <v>0.0008</v>
      </c>
      <c r="C16" s="55" t="s">
        <v>204</v>
      </c>
      <c r="D16" s="1" t="n">
        <f aca="false">B16*$J$3</f>
        <v>3.25288</v>
      </c>
      <c r="E16" s="28" t="n">
        <f aca="false">U66</f>
        <v>358</v>
      </c>
      <c r="F16" s="56" t="n">
        <f aca="false">D16*E16</f>
        <v>1164.53104</v>
      </c>
      <c r="J16" s="56"/>
      <c r="AC16" s="55"/>
      <c r="AG16" s="53" t="n">
        <f aca="false">SUM(AG14:AG15)</f>
        <v>9.63520549335657</v>
      </c>
      <c r="AO16" s="55"/>
      <c r="AP16" s="56"/>
      <c r="AQ16" s="57"/>
      <c r="AR16" s="28"/>
      <c r="AS16" s="28"/>
    </row>
    <row r="17" customFormat="false" ht="15" hidden="false" customHeight="false" outlineLevel="0" collapsed="false">
      <c r="A17" s="1" t="s">
        <v>602</v>
      </c>
      <c r="B17" s="57" t="n">
        <v>1</v>
      </c>
      <c r="C17" s="55" t="s">
        <v>134</v>
      </c>
      <c r="D17" s="1" t="n">
        <f aca="false">B17*$J$3</f>
        <v>4066.1</v>
      </c>
      <c r="E17" s="28" t="n">
        <f aca="false">U67</f>
        <v>2.9418736</v>
      </c>
      <c r="F17" s="56" t="n">
        <f aca="false">D17*E17</f>
        <v>11961.95224496</v>
      </c>
      <c r="J17" s="56"/>
      <c r="K17" s="56"/>
      <c r="Y17" s="54" t="s">
        <v>318</v>
      </c>
      <c r="AC17" s="55"/>
      <c r="AD17" s="56"/>
      <c r="AS17" s="53"/>
    </row>
    <row r="18" customFormat="false" ht="15" hidden="false" customHeight="false" outlineLevel="0" collapsed="false">
      <c r="A18" s="1" t="s">
        <v>604</v>
      </c>
      <c r="B18" s="57" t="n">
        <v>0.1607</v>
      </c>
      <c r="C18" s="55" t="s">
        <v>145</v>
      </c>
      <c r="D18" s="1" t="n">
        <f aca="false">B18*$J$3</f>
        <v>653.42227</v>
      </c>
      <c r="E18" s="28" t="n">
        <f aca="false">U68</f>
        <v>19.2386832</v>
      </c>
      <c r="F18" s="56" t="n">
        <f aca="false">D18*E18</f>
        <v>12570.9840483549</v>
      </c>
      <c r="J18" s="56"/>
      <c r="K18" s="172"/>
      <c r="Y18" s="1" t="s">
        <v>311</v>
      </c>
      <c r="AC18" s="55" t="s">
        <v>312</v>
      </c>
      <c r="AD18" s="56"/>
      <c r="AE18" s="57" t="n">
        <v>3</v>
      </c>
      <c r="AF18" s="28" t="n">
        <f aca="false">AG12</f>
        <v>3.73144</v>
      </c>
      <c r="AG18" s="28" t="n">
        <f aca="false">AE18%*AF18</f>
        <v>0.1119432</v>
      </c>
      <c r="AK18" s="54"/>
    </row>
    <row r="19" customFormat="false" ht="15" hidden="false" customHeight="false" outlineLevel="0" collapsed="false">
      <c r="A19" s="1" t="s">
        <v>606</v>
      </c>
      <c r="B19" s="57" t="n">
        <v>0.1889</v>
      </c>
      <c r="C19" s="55" t="s">
        <v>145</v>
      </c>
      <c r="D19" s="1" t="n">
        <f aca="false">B19*$J$3</f>
        <v>768.08629</v>
      </c>
      <c r="E19" s="28" t="n">
        <f aca="false">U69</f>
        <v>19.2386832</v>
      </c>
      <c r="F19" s="56" t="n">
        <f aca="false">D19*E19</f>
        <v>14776.9688035733</v>
      </c>
      <c r="K19" s="56"/>
      <c r="X19" s="60"/>
      <c r="Y19" s="60"/>
      <c r="Z19" s="60"/>
      <c r="AA19" s="60"/>
      <c r="AB19" s="60"/>
      <c r="AC19" s="60"/>
      <c r="AD19" s="60"/>
      <c r="AE19" s="60"/>
      <c r="AF19" s="60"/>
      <c r="AG19" s="61" t="n">
        <f aca="false">SUM(AG18)</f>
        <v>0.1119432</v>
      </c>
      <c r="AQ19" s="57"/>
      <c r="AR19" s="28"/>
      <c r="AS19" s="28"/>
    </row>
    <row r="20" customFormat="false" ht="15" hidden="false" customHeight="false" outlineLevel="0" collapsed="false">
      <c r="A20" s="1" t="s">
        <v>608</v>
      </c>
      <c r="B20" s="57" t="n">
        <v>0.0074</v>
      </c>
      <c r="C20" s="55" t="s">
        <v>145</v>
      </c>
      <c r="D20" s="1" t="n">
        <f aca="false">B20*$J$3</f>
        <v>30.08914</v>
      </c>
      <c r="E20" s="28" t="n">
        <f aca="false">U70</f>
        <v>616.64</v>
      </c>
      <c r="F20" s="56" t="n">
        <f aca="false">D20*E20</f>
        <v>18554.1672896</v>
      </c>
      <c r="K20" s="56"/>
      <c r="AC20" s="55"/>
      <c r="AD20" s="56"/>
      <c r="AE20" s="57"/>
      <c r="AF20" s="28"/>
      <c r="AG20" s="28"/>
      <c r="AQ20" s="57"/>
      <c r="AR20" s="28"/>
      <c r="AS20" s="28"/>
    </row>
    <row r="21" customFormat="false" ht="15" hidden="false" customHeight="false" outlineLevel="0" collapsed="false">
      <c r="A21" s="1" t="s">
        <v>1336</v>
      </c>
      <c r="B21" s="1" t="n">
        <v>0.025</v>
      </c>
      <c r="C21" s="55" t="s">
        <v>145</v>
      </c>
      <c r="D21" s="1" t="n">
        <f aca="false">B21*$J$3</f>
        <v>101.6525</v>
      </c>
      <c r="E21" s="28" t="n">
        <f aca="false">U71</f>
        <v>51.058432</v>
      </c>
      <c r="F21" s="56" t="n">
        <f aca="false">D21*E21</f>
        <v>5190.21725888</v>
      </c>
      <c r="K21" s="56"/>
      <c r="X21" s="14" t="s">
        <v>1324</v>
      </c>
      <c r="Y21" s="14"/>
      <c r="Z21" s="14" t="s">
        <v>829</v>
      </c>
      <c r="AA21" s="14"/>
      <c r="AB21" s="14"/>
      <c r="AC21" s="14"/>
      <c r="AD21" s="14"/>
      <c r="AE21" s="14"/>
      <c r="AF21" s="14"/>
      <c r="AS21" s="53"/>
      <c r="AT21" s="173"/>
      <c r="AU21" s="174"/>
      <c r="AV21" s="174"/>
      <c r="AW21" s="175"/>
      <c r="AX21" s="176"/>
      <c r="AY21" s="176"/>
      <c r="AZ21" s="176"/>
      <c r="BA21" s="177"/>
    </row>
    <row r="22" customFormat="false" ht="15" hidden="false" customHeight="false" outlineLevel="0" collapsed="false">
      <c r="A22" s="168" t="s">
        <v>1337</v>
      </c>
      <c r="C22" s="1" t="s">
        <v>134</v>
      </c>
      <c r="D22" s="1" t="n">
        <f aca="false">J4</f>
        <v>10</v>
      </c>
      <c r="E22" s="28" t="n">
        <f aca="false">V236</f>
        <v>169.49</v>
      </c>
      <c r="G22" s="14" t="n">
        <f aca="false">D22*E22</f>
        <v>1694.9</v>
      </c>
      <c r="K22" s="56"/>
      <c r="X22" s="14" t="s">
        <v>279</v>
      </c>
      <c r="Y22" s="14" t="s">
        <v>280</v>
      </c>
      <c r="Z22" s="36" t="s">
        <v>281</v>
      </c>
      <c r="AA22" s="52" t="n">
        <v>20</v>
      </c>
      <c r="AB22" s="36" t="s">
        <v>282</v>
      </c>
      <c r="AC22" s="52" t="n">
        <f aca="false">AA22</f>
        <v>20</v>
      </c>
      <c r="AD22" s="14" t="s">
        <v>283</v>
      </c>
      <c r="AF22" s="36" t="s">
        <v>134</v>
      </c>
      <c r="AG22" s="53" t="n">
        <f aca="false">AG28+AG33+AG36</f>
        <v>73.8521214933566</v>
      </c>
      <c r="AK22" s="54"/>
      <c r="AT22" s="178"/>
      <c r="AU22" s="174"/>
      <c r="AV22" s="179"/>
      <c r="AW22" s="180"/>
      <c r="AX22" s="181"/>
      <c r="AY22" s="182"/>
      <c r="AZ22" s="181"/>
      <c r="BA22" s="181"/>
    </row>
    <row r="23" customFormat="false" ht="15" hidden="false" customHeight="false" outlineLevel="0" collapsed="false">
      <c r="K23" s="56"/>
      <c r="L23" s="28"/>
      <c r="X23" s="14" t="s">
        <v>284</v>
      </c>
      <c r="Y23" s="14" t="s">
        <v>285</v>
      </c>
      <c r="AC23" s="36" t="s">
        <v>123</v>
      </c>
      <c r="AD23" s="36" t="s">
        <v>286</v>
      </c>
      <c r="AE23" s="36" t="s">
        <v>287</v>
      </c>
      <c r="AF23" s="36" t="s">
        <v>288</v>
      </c>
      <c r="AG23" s="36" t="s">
        <v>289</v>
      </c>
      <c r="AO23" s="55"/>
      <c r="AQ23" s="57"/>
      <c r="AR23" s="28"/>
      <c r="AS23" s="28"/>
      <c r="AT23" s="178"/>
      <c r="AU23" s="183"/>
      <c r="AV23" s="174"/>
      <c r="AW23" s="180"/>
      <c r="AX23" s="181"/>
      <c r="AY23" s="182"/>
      <c r="AZ23" s="181"/>
      <c r="BA23" s="181"/>
    </row>
    <row r="24" customFormat="false" ht="15" hidden="false" customHeight="false" outlineLevel="0" collapsed="false">
      <c r="A24" s="168" t="s">
        <v>108</v>
      </c>
      <c r="C24" s="1" t="s">
        <v>134</v>
      </c>
      <c r="G24" s="53" t="n">
        <f aca="false">SUM(F25:F37)</f>
        <v>16141.21945536</v>
      </c>
      <c r="L24" s="28"/>
      <c r="Y24" s="54" t="s">
        <v>290</v>
      </c>
      <c r="AO24" s="55"/>
      <c r="AP24" s="56"/>
      <c r="AQ24" s="57"/>
      <c r="AR24" s="28"/>
      <c r="AS24" s="28"/>
      <c r="AT24" s="112"/>
      <c r="AU24" s="112"/>
      <c r="AV24" s="112"/>
      <c r="AW24" s="180"/>
      <c r="AX24" s="181"/>
      <c r="AY24" s="181"/>
      <c r="AZ24" s="181"/>
      <c r="BA24" s="181"/>
    </row>
    <row r="25" customFormat="false" ht="15" hidden="false" customHeight="false" outlineLevel="0" collapsed="false">
      <c r="B25" s="57"/>
      <c r="C25" s="55"/>
      <c r="E25" s="28"/>
      <c r="F25" s="56"/>
      <c r="L25" s="28"/>
      <c r="Y25" s="1" t="s">
        <v>651</v>
      </c>
      <c r="AC25" s="55" t="s">
        <v>292</v>
      </c>
      <c r="AD25" s="56" t="n">
        <v>0.1</v>
      </c>
      <c r="AE25" s="57" t="n">
        <f aca="false">AD25*8/$AA$22</f>
        <v>0.04</v>
      </c>
      <c r="AF25" s="28" t="n">
        <v>34.73</v>
      </c>
      <c r="AG25" s="28" t="n">
        <f aca="false">AE25*AF25</f>
        <v>1.3892</v>
      </c>
      <c r="AO25" s="55"/>
      <c r="AP25" s="56"/>
      <c r="AQ25" s="57"/>
      <c r="AR25" s="28"/>
      <c r="AS25" s="28"/>
      <c r="AT25" s="173"/>
      <c r="AU25" s="173"/>
      <c r="AV25" s="180"/>
      <c r="AW25" s="173"/>
      <c r="AX25" s="184"/>
      <c r="AY25" s="184"/>
      <c r="AZ25" s="184"/>
      <c r="BA25" s="184"/>
    </row>
    <row r="26" customFormat="false" ht="15" hidden="false" customHeight="false" outlineLevel="0" collapsed="false">
      <c r="B26" s="57"/>
      <c r="C26" s="55"/>
      <c r="E26" s="28"/>
      <c r="F26" s="56"/>
      <c r="L26" s="28"/>
      <c r="Y26" s="1" t="s">
        <v>680</v>
      </c>
      <c r="AC26" s="55" t="s">
        <v>292</v>
      </c>
      <c r="AD26" s="56" t="n">
        <v>1</v>
      </c>
      <c r="AE26" s="57" t="n">
        <f aca="false">AD26*8/$AA$22</f>
        <v>0.4</v>
      </c>
      <c r="AF26" s="28" t="n">
        <v>22.66</v>
      </c>
      <c r="AG26" s="28" t="n">
        <f aca="false">AE26*AF26</f>
        <v>9.064</v>
      </c>
      <c r="AS26" s="53"/>
      <c r="AT26" s="112"/>
      <c r="AU26" s="112"/>
      <c r="AV26" s="173"/>
      <c r="AW26" s="173"/>
      <c r="AX26" s="184"/>
      <c r="AY26" s="184"/>
      <c r="AZ26" s="184"/>
      <c r="BA26" s="184"/>
    </row>
    <row r="27" customFormat="false" ht="15" hidden="false" customHeight="false" outlineLevel="0" collapsed="false">
      <c r="A27" s="1" t="s">
        <v>1329</v>
      </c>
      <c r="B27" s="57" t="n">
        <v>1</v>
      </c>
      <c r="C27" s="55" t="s">
        <v>204</v>
      </c>
      <c r="D27" s="1" t="n">
        <f aca="false">B27*$J$5</f>
        <v>99.2</v>
      </c>
      <c r="E27" s="28" t="n">
        <f aca="false">U61</f>
        <v>7.930344</v>
      </c>
      <c r="F27" s="56" t="n">
        <f aca="false">D27*E27</f>
        <v>786.6901248</v>
      </c>
      <c r="Y27" s="1" t="s">
        <v>294</v>
      </c>
      <c r="AC27" s="55" t="s">
        <v>292</v>
      </c>
      <c r="AD27" s="56" t="n">
        <v>1</v>
      </c>
      <c r="AE27" s="57" t="n">
        <f aca="false">AD27*8/$AA$22</f>
        <v>0.4</v>
      </c>
      <c r="AF27" s="28" t="n">
        <v>20.51</v>
      </c>
      <c r="AG27" s="28" t="n">
        <f aca="false">AE27*AF27</f>
        <v>8.204</v>
      </c>
    </row>
    <row r="28" customFormat="false" ht="15" hidden="false" customHeight="false" outlineLevel="0" collapsed="false">
      <c r="A28" s="1" t="s">
        <v>1331</v>
      </c>
      <c r="B28" s="57" t="n">
        <v>0.33</v>
      </c>
      <c r="C28" s="55" t="s">
        <v>204</v>
      </c>
      <c r="D28" s="1" t="n">
        <f aca="false">B28*$J$5</f>
        <v>32.736</v>
      </c>
      <c r="E28" s="28" t="n">
        <f aca="false">U62</f>
        <v>77.2277048</v>
      </c>
      <c r="F28" s="56" t="n">
        <f aca="false">D28*E28</f>
        <v>2528.1261443328</v>
      </c>
      <c r="AC28" s="55"/>
      <c r="AG28" s="53" t="n">
        <f aca="false">SUM(AG25:AG27)</f>
        <v>18.6572</v>
      </c>
    </row>
    <row r="29" customFormat="false" ht="15" hidden="false" customHeight="false" outlineLevel="0" collapsed="false">
      <c r="A29" s="1" t="s">
        <v>594</v>
      </c>
      <c r="B29" s="57" t="n">
        <v>0.22</v>
      </c>
      <c r="C29" s="55" t="s">
        <v>134</v>
      </c>
      <c r="D29" s="1" t="n">
        <f aca="false">B29*$J$5</f>
        <v>21.824</v>
      </c>
      <c r="E29" s="28" t="n">
        <f aca="false">U63</f>
        <v>445.669224</v>
      </c>
      <c r="F29" s="56" t="n">
        <f aca="false">D29*E29</f>
        <v>9726.285144576</v>
      </c>
      <c r="Y29" s="54" t="s">
        <v>295</v>
      </c>
      <c r="AC29" s="55"/>
    </row>
    <row r="30" customFormat="false" ht="15" hidden="false" customHeight="false" outlineLevel="0" collapsed="false">
      <c r="A30" s="1" t="s">
        <v>596</v>
      </c>
      <c r="B30" s="57" t="n">
        <v>0.0144</v>
      </c>
      <c r="C30" s="55" t="s">
        <v>204</v>
      </c>
      <c r="D30" s="1" t="n">
        <f aca="false">B30*$J$5</f>
        <v>1.42848</v>
      </c>
      <c r="E30" s="28" t="n">
        <f aca="false">U64</f>
        <v>445.669224</v>
      </c>
      <c r="F30" s="56" t="n">
        <f aca="false">D30*E30</f>
        <v>636.62957309952</v>
      </c>
      <c r="Y30" s="1" t="s">
        <v>656</v>
      </c>
      <c r="AC30" s="55" t="s">
        <v>204</v>
      </c>
      <c r="AE30" s="57" t="n">
        <v>0.033</v>
      </c>
      <c r="AF30" s="28" t="n">
        <v>6.14</v>
      </c>
      <c r="AG30" s="28" t="n">
        <f aca="false">AE30*AF30</f>
        <v>0.20262</v>
      </c>
    </row>
    <row r="31" customFormat="false" ht="15" hidden="false" customHeight="false" outlineLevel="0" collapsed="false">
      <c r="A31" s="1" t="s">
        <v>598</v>
      </c>
      <c r="B31" s="57" t="n">
        <v>0.0766</v>
      </c>
      <c r="C31" s="55" t="s">
        <v>134</v>
      </c>
      <c r="D31" s="1" t="n">
        <f aca="false">B31*$J$5</f>
        <v>7.59872</v>
      </c>
      <c r="E31" s="28" t="n">
        <f aca="false">U65</f>
        <v>118.0135648</v>
      </c>
      <c r="F31" s="56" t="n">
        <f aca="false">D31*E31</f>
        <v>896.752035117056</v>
      </c>
      <c r="Y31" s="1" t="s">
        <v>958</v>
      </c>
      <c r="AC31" s="55" t="s">
        <v>204</v>
      </c>
      <c r="AE31" s="57" t="n">
        <v>0.15</v>
      </c>
      <c r="AF31" s="28" t="n">
        <v>62.8839032890438</v>
      </c>
      <c r="AG31" s="28" t="n">
        <f aca="false">AE31*AF31</f>
        <v>9.43258549335657</v>
      </c>
    </row>
    <row r="32" customFormat="false" ht="15" hidden="false" customHeight="false" outlineLevel="0" collapsed="false">
      <c r="A32" s="1" t="s">
        <v>600</v>
      </c>
      <c r="B32" s="57" t="n">
        <v>0.0008</v>
      </c>
      <c r="C32" s="55" t="s">
        <v>204</v>
      </c>
      <c r="D32" s="1" t="n">
        <f aca="false">B32*$J$5</f>
        <v>0.07936</v>
      </c>
      <c r="E32" s="28" t="n">
        <f aca="false">U66</f>
        <v>358</v>
      </c>
      <c r="F32" s="56" t="n">
        <f aca="false">D32*E32</f>
        <v>28.41088</v>
      </c>
      <c r="Y32" s="1" t="s">
        <v>959</v>
      </c>
      <c r="AC32" s="55" t="s">
        <v>150</v>
      </c>
      <c r="AE32" s="57" t="n">
        <v>1</v>
      </c>
      <c r="AF32" s="28" t="n">
        <v>45</v>
      </c>
      <c r="AG32" s="28" t="n">
        <f aca="false">AE32*AF32</f>
        <v>45</v>
      </c>
    </row>
    <row r="33" customFormat="false" ht="15" hidden="false" customHeight="false" outlineLevel="0" collapsed="false">
      <c r="A33" s="1" t="s">
        <v>602</v>
      </c>
      <c r="B33" s="57" t="n">
        <v>1</v>
      </c>
      <c r="C33" s="55" t="s">
        <v>134</v>
      </c>
      <c r="D33" s="1" t="n">
        <f aca="false">B33*$J$5</f>
        <v>99.2</v>
      </c>
      <c r="E33" s="28" t="n">
        <f aca="false">U67</f>
        <v>2.9418736</v>
      </c>
      <c r="F33" s="56" t="n">
        <f aca="false">D33*E33</f>
        <v>291.83386112</v>
      </c>
      <c r="AC33" s="55"/>
      <c r="AG33" s="53" t="n">
        <f aca="false">SUM(AG30:AG32)</f>
        <v>54.6352054933566</v>
      </c>
    </row>
    <row r="34" customFormat="false" ht="15" hidden="false" customHeight="false" outlineLevel="0" collapsed="false">
      <c r="A34" s="1" t="s">
        <v>604</v>
      </c>
      <c r="B34" s="57" t="n">
        <v>0.1607</v>
      </c>
      <c r="C34" s="55" t="s">
        <v>145</v>
      </c>
      <c r="D34" s="1" t="n">
        <f aca="false">B34*$J$5</f>
        <v>15.94144</v>
      </c>
      <c r="E34" s="28" t="n">
        <f aca="false">U68</f>
        <v>19.2386832</v>
      </c>
      <c r="F34" s="56" t="n">
        <f aca="false">D34*E34</f>
        <v>306.692313911808</v>
      </c>
      <c r="Y34" s="54" t="s">
        <v>318</v>
      </c>
      <c r="AC34" s="55"/>
      <c r="AD34" s="56"/>
    </row>
    <row r="35" customFormat="false" ht="15" hidden="false" customHeight="false" outlineLevel="0" collapsed="false">
      <c r="A35" s="1" t="s">
        <v>606</v>
      </c>
      <c r="B35" s="57" t="n">
        <v>0.1889</v>
      </c>
      <c r="C35" s="55" t="s">
        <v>145</v>
      </c>
      <c r="D35" s="1" t="n">
        <f aca="false">B35*$J$5</f>
        <v>18.73888</v>
      </c>
      <c r="E35" s="28" t="n">
        <f aca="false">U69</f>
        <v>19.2386832</v>
      </c>
      <c r="F35" s="56" t="n">
        <f aca="false">D35*E35</f>
        <v>360.511375842816</v>
      </c>
      <c r="Y35" s="1" t="s">
        <v>311</v>
      </c>
      <c r="AC35" s="55" t="s">
        <v>312</v>
      </c>
      <c r="AD35" s="56"/>
      <c r="AE35" s="57" t="n">
        <v>3</v>
      </c>
      <c r="AF35" s="28" t="n">
        <f aca="false">AG28</f>
        <v>18.6572</v>
      </c>
      <c r="AG35" s="28" t="n">
        <f aca="false">AE35%*AF35</f>
        <v>0.559716</v>
      </c>
    </row>
    <row r="36" customFormat="false" ht="15" hidden="false" customHeight="false" outlineLevel="0" collapsed="false">
      <c r="A36" s="1" t="s">
        <v>608</v>
      </c>
      <c r="B36" s="57" t="n">
        <v>0.0074</v>
      </c>
      <c r="C36" s="55" t="s">
        <v>145</v>
      </c>
      <c r="D36" s="1" t="n">
        <f aca="false">B36*$J$5</f>
        <v>0.73408</v>
      </c>
      <c r="E36" s="28" t="n">
        <f aca="false">U70</f>
        <v>616.64</v>
      </c>
      <c r="F36" s="56" t="n">
        <f aca="false">D36*E36</f>
        <v>452.6630912</v>
      </c>
      <c r="X36" s="60"/>
      <c r="Y36" s="60"/>
      <c r="Z36" s="60"/>
      <c r="AA36" s="60"/>
      <c r="AB36" s="60"/>
      <c r="AC36" s="60"/>
      <c r="AD36" s="60"/>
      <c r="AE36" s="60"/>
      <c r="AF36" s="60"/>
      <c r="AG36" s="61" t="n">
        <f aca="false">SUM(AG35)</f>
        <v>0.559716</v>
      </c>
    </row>
    <row r="37" customFormat="false" ht="15" hidden="false" customHeight="false" outlineLevel="0" collapsed="false">
      <c r="A37" s="1" t="s">
        <v>1336</v>
      </c>
      <c r="B37" s="1" t="n">
        <v>0.025</v>
      </c>
      <c r="C37" s="55" t="s">
        <v>145</v>
      </c>
      <c r="D37" s="1" t="n">
        <f aca="false">B37*$J$5</f>
        <v>2.48</v>
      </c>
      <c r="E37" s="28" t="n">
        <f aca="false">U71</f>
        <v>51.058432</v>
      </c>
      <c r="F37" s="56" t="n">
        <f aca="false">D37*E37</f>
        <v>126.62491136</v>
      </c>
    </row>
    <row r="38" customFormat="false" ht="15" hidden="false" customHeight="false" outlineLevel="0" collapsed="false">
      <c r="A38" s="168" t="s">
        <v>1338</v>
      </c>
      <c r="C38" s="1" t="s">
        <v>134</v>
      </c>
      <c r="D38" s="1" t="n">
        <f aca="false">J6</f>
        <v>11</v>
      </c>
      <c r="E38" s="28" t="n">
        <f aca="false">V236</f>
        <v>169.49</v>
      </c>
      <c r="G38" s="14" t="n">
        <f aca="false">D38*E38</f>
        <v>1864.39</v>
      </c>
      <c r="X38" s="14" t="s">
        <v>1324</v>
      </c>
      <c r="Y38" s="14"/>
      <c r="Z38" s="14" t="s">
        <v>831</v>
      </c>
      <c r="AB38" s="14"/>
      <c r="AC38" s="14"/>
      <c r="AD38" s="14"/>
      <c r="AE38" s="14"/>
      <c r="AF38" s="14"/>
    </row>
    <row r="39" customFormat="false" ht="15" hidden="false" customHeight="false" outlineLevel="0" collapsed="false">
      <c r="X39" s="14" t="s">
        <v>279</v>
      </c>
      <c r="Y39" s="14" t="s">
        <v>280</v>
      </c>
      <c r="Z39" s="36" t="s">
        <v>281</v>
      </c>
      <c r="AA39" s="52" t="n">
        <v>20</v>
      </c>
      <c r="AB39" s="36" t="s">
        <v>282</v>
      </c>
      <c r="AC39" s="52" t="n">
        <f aca="false">AA39</f>
        <v>20</v>
      </c>
      <c r="AD39" s="14" t="s">
        <v>283</v>
      </c>
      <c r="AF39" s="36" t="s">
        <v>134</v>
      </c>
      <c r="AG39" s="53" t="n">
        <f aca="false">AG45+AG50+AG53</f>
        <v>118.747741493357</v>
      </c>
    </row>
    <row r="40" customFormat="false" ht="15" hidden="false" customHeight="false" outlineLevel="0" collapsed="false">
      <c r="A40" s="168" t="s">
        <v>79</v>
      </c>
      <c r="C40" s="1" t="s">
        <v>566</v>
      </c>
      <c r="D40" s="1" t="n">
        <f aca="false">J7</f>
        <v>3</v>
      </c>
      <c r="E40" s="28" t="n">
        <f aca="false">V243</f>
        <v>2147.20033126552</v>
      </c>
      <c r="G40" s="53" t="n">
        <f aca="false">D40*E40</f>
        <v>6441.60099379656</v>
      </c>
      <c r="X40" s="14" t="s">
        <v>284</v>
      </c>
      <c r="Y40" s="14" t="s">
        <v>285</v>
      </c>
      <c r="AC40" s="36" t="s">
        <v>123</v>
      </c>
      <c r="AD40" s="36" t="s">
        <v>286</v>
      </c>
      <c r="AE40" s="36" t="s">
        <v>287</v>
      </c>
      <c r="AF40" s="36" t="s">
        <v>288</v>
      </c>
      <c r="AG40" s="36" t="s">
        <v>289</v>
      </c>
    </row>
    <row r="41" customFormat="false" ht="15" hidden="false" customHeight="false" outlineLevel="0" collapsed="false">
      <c r="Y41" s="54" t="s">
        <v>290</v>
      </c>
    </row>
    <row r="42" customFormat="false" ht="15" hidden="false" customHeight="false" outlineLevel="0" collapsed="false">
      <c r="A42" s="168" t="s">
        <v>80</v>
      </c>
      <c r="C42" s="1" t="s">
        <v>134</v>
      </c>
      <c r="E42" s="28" t="n">
        <f aca="false">V289</f>
        <v>136.58560240992</v>
      </c>
      <c r="F42" s="56"/>
      <c r="G42" s="53" t="n">
        <f aca="false">SUM(F45:F53)</f>
        <v>65794.6505368826</v>
      </c>
      <c r="Y42" s="1" t="s">
        <v>651</v>
      </c>
      <c r="AC42" s="55" t="s">
        <v>292</v>
      </c>
      <c r="AD42" s="56" t="n">
        <v>0.1</v>
      </c>
      <c r="AE42" s="57" t="n">
        <f aca="false">AD42*8/$AA$39</f>
        <v>0.04</v>
      </c>
      <c r="AF42" s="28" t="n">
        <v>34.73</v>
      </c>
      <c r="AG42" s="28" t="n">
        <f aca="false">AE42*AF42</f>
        <v>1.3892</v>
      </c>
    </row>
    <row r="43" customFormat="false" ht="15" hidden="false" customHeight="false" outlineLevel="0" collapsed="false">
      <c r="A43" s="112"/>
      <c r="B43" s="113"/>
      <c r="C43" s="55"/>
      <c r="E43" s="28"/>
      <c r="F43" s="56"/>
      <c r="Y43" s="1" t="s">
        <v>680</v>
      </c>
      <c r="AC43" s="55" t="s">
        <v>292</v>
      </c>
      <c r="AD43" s="56" t="n">
        <v>1</v>
      </c>
      <c r="AE43" s="57" t="n">
        <f aca="false">AD43*8/$AA$39</f>
        <v>0.4</v>
      </c>
      <c r="AF43" s="28" t="n">
        <v>22.66</v>
      </c>
      <c r="AG43" s="28" t="n">
        <f aca="false">AE43*AF43</f>
        <v>9.064</v>
      </c>
    </row>
    <row r="44" customFormat="false" ht="15" hidden="false" customHeight="false" outlineLevel="0" collapsed="false">
      <c r="A44" s="112"/>
      <c r="B44" s="113"/>
      <c r="C44" s="55"/>
      <c r="E44" s="28"/>
      <c r="F44" s="56"/>
      <c r="Y44" s="1" t="s">
        <v>294</v>
      </c>
      <c r="AC44" s="55" t="s">
        <v>292</v>
      </c>
      <c r="AD44" s="56" t="n">
        <v>1</v>
      </c>
      <c r="AE44" s="57" t="n">
        <f aca="false">AD44*8/$AA$39</f>
        <v>0.4</v>
      </c>
      <c r="AF44" s="28" t="n">
        <v>20.51</v>
      </c>
      <c r="AG44" s="28" t="n">
        <f aca="false">AE44*AF44</f>
        <v>8.204</v>
      </c>
    </row>
    <row r="45" customFormat="false" ht="15" hidden="false" customHeight="false" outlineLevel="0" collapsed="false">
      <c r="A45" s="112" t="s">
        <v>1329</v>
      </c>
      <c r="B45" s="113" t="n">
        <v>1</v>
      </c>
      <c r="C45" s="55" t="s">
        <v>134</v>
      </c>
      <c r="D45" s="1" t="n">
        <f aca="false">B45*$J$8</f>
        <v>481.71</v>
      </c>
      <c r="E45" s="28" t="n">
        <f aca="false">U280</f>
        <v>7.930344</v>
      </c>
      <c r="F45" s="56" t="n">
        <f aca="false">D45*E45</f>
        <v>3820.12600824</v>
      </c>
      <c r="H45" s="113"/>
      <c r="I45" s="28"/>
      <c r="AC45" s="55"/>
      <c r="AG45" s="53" t="n">
        <f aca="false">SUM(AG42:AG44)</f>
        <v>18.6572</v>
      </c>
    </row>
    <row r="46" customFormat="false" ht="15" hidden="false" customHeight="false" outlineLevel="0" collapsed="false">
      <c r="A46" s="114" t="s">
        <v>1331</v>
      </c>
      <c r="B46" s="115" t="n">
        <v>0.33</v>
      </c>
      <c r="C46" s="55" t="s">
        <v>134</v>
      </c>
      <c r="D46" s="1" t="n">
        <f aca="false">B46*$J$8</f>
        <v>158.9643</v>
      </c>
      <c r="E46" s="28" t="n">
        <f aca="false">U281</f>
        <v>77.2277048</v>
      </c>
      <c r="F46" s="56" t="n">
        <f aca="false">D46*E46</f>
        <v>12276.4480341386</v>
      </c>
      <c r="H46" s="115"/>
      <c r="I46" s="28"/>
      <c r="Y46" s="54" t="s">
        <v>295</v>
      </c>
      <c r="AC46" s="55"/>
    </row>
    <row r="47" customFormat="false" ht="15" hidden="false" customHeight="false" outlineLevel="0" collapsed="false">
      <c r="A47" s="116" t="s">
        <v>621</v>
      </c>
      <c r="B47" s="79" t="n">
        <v>0.12</v>
      </c>
      <c r="C47" s="55" t="s">
        <v>134</v>
      </c>
      <c r="D47" s="1" t="n">
        <f aca="false">B47*$J$8</f>
        <v>57.8052</v>
      </c>
      <c r="E47" s="28" t="n">
        <f aca="false">U282</f>
        <v>447.9006688</v>
      </c>
      <c r="F47" s="56" t="n">
        <f aca="false">D47*E47</f>
        <v>25890.9877401178</v>
      </c>
      <c r="H47" s="79"/>
      <c r="I47" s="28"/>
      <c r="Y47" s="1" t="s">
        <v>656</v>
      </c>
      <c r="AC47" s="55" t="s">
        <v>204</v>
      </c>
      <c r="AE47" s="57" t="n">
        <v>0.016</v>
      </c>
      <c r="AF47" s="28" t="n">
        <v>6.14</v>
      </c>
      <c r="AG47" s="28" t="n">
        <f aca="false">AE47*AF47</f>
        <v>0.09824</v>
      </c>
    </row>
    <row r="48" customFormat="false" ht="15" hidden="false" customHeight="false" outlineLevel="0" collapsed="false">
      <c r="A48" s="116" t="s">
        <v>623</v>
      </c>
      <c r="B48" s="79" t="n">
        <v>0.014</v>
      </c>
      <c r="C48" s="55" t="s">
        <v>204</v>
      </c>
      <c r="D48" s="1" t="n">
        <f aca="false">B48*$J$8</f>
        <v>6.74394</v>
      </c>
      <c r="E48" s="28" t="n">
        <f aca="false">U283</f>
        <v>447.9006688</v>
      </c>
      <c r="F48" s="56" t="n">
        <f aca="false">D48*E48</f>
        <v>3020.61523634707</v>
      </c>
      <c r="H48" s="79"/>
      <c r="I48" s="28"/>
      <c r="Y48" s="1" t="s">
        <v>958</v>
      </c>
      <c r="AC48" s="55" t="s">
        <v>204</v>
      </c>
      <c r="AE48" s="57" t="n">
        <v>0.15</v>
      </c>
      <c r="AF48" s="28" t="n">
        <v>62.8839032890438</v>
      </c>
      <c r="AG48" s="28" t="n">
        <f aca="false">AE48*AF48</f>
        <v>9.43258549335657</v>
      </c>
    </row>
    <row r="49" customFormat="false" ht="15" hidden="false" customHeight="false" outlineLevel="0" collapsed="false">
      <c r="A49" s="116" t="s">
        <v>598</v>
      </c>
      <c r="B49" s="79" t="n">
        <v>0.2</v>
      </c>
      <c r="C49" s="55" t="s">
        <v>134</v>
      </c>
      <c r="D49" s="1" t="n">
        <f aca="false">B49*$J$8</f>
        <v>96.342</v>
      </c>
      <c r="E49" s="28" t="n">
        <f aca="false">U284</f>
        <v>118.0135648</v>
      </c>
      <c r="F49" s="56" t="n">
        <f aca="false">D49*E49</f>
        <v>11369.6628599616</v>
      </c>
      <c r="H49" s="79"/>
      <c r="I49" s="28"/>
      <c r="Y49" s="1" t="s">
        <v>960</v>
      </c>
      <c r="AC49" s="55" t="s">
        <v>150</v>
      </c>
      <c r="AE49" s="57" t="n">
        <v>1</v>
      </c>
      <c r="AF49" s="28" t="n">
        <v>90</v>
      </c>
      <c r="AG49" s="28" t="n">
        <f aca="false">AE49*AF49</f>
        <v>90</v>
      </c>
    </row>
    <row r="50" customFormat="false" ht="15" hidden="false" customHeight="false" outlineLevel="0" collapsed="false">
      <c r="A50" s="116" t="s">
        <v>602</v>
      </c>
      <c r="B50" s="79" t="n">
        <v>1</v>
      </c>
      <c r="C50" s="55" t="s">
        <v>134</v>
      </c>
      <c r="D50" s="1" t="n">
        <f aca="false">B50*$J$8</f>
        <v>481.71</v>
      </c>
      <c r="E50" s="28" t="n">
        <f aca="false">U285</f>
        <v>2.9418736</v>
      </c>
      <c r="F50" s="56" t="n">
        <f aca="false">D50*E50</f>
        <v>1417.129931856</v>
      </c>
      <c r="H50" s="79"/>
      <c r="I50" s="28"/>
      <c r="AC50" s="55"/>
      <c r="AG50" s="53" t="n">
        <f aca="false">SUM(AG47:AG49)</f>
        <v>99.5308254933566</v>
      </c>
    </row>
    <row r="51" customFormat="false" ht="15" hidden="false" customHeight="false" outlineLevel="0" collapsed="false">
      <c r="A51" s="116" t="s">
        <v>841</v>
      </c>
      <c r="B51" s="79" t="n">
        <v>1</v>
      </c>
      <c r="C51" s="55" t="s">
        <v>134</v>
      </c>
      <c r="D51" s="1" t="n">
        <f aca="false">B51*$J$8</f>
        <v>481.71</v>
      </c>
      <c r="E51" s="28" t="n">
        <f aca="false">U286</f>
        <v>9.880996</v>
      </c>
      <c r="F51" s="56" t="n">
        <f aca="false">D51*E51</f>
        <v>4759.77458316</v>
      </c>
      <c r="H51" s="79"/>
      <c r="I51" s="28"/>
      <c r="Y51" s="54" t="s">
        <v>318</v>
      </c>
      <c r="AC51" s="55"/>
      <c r="AD51" s="56"/>
    </row>
    <row r="52" customFormat="false" ht="15" hidden="false" customHeight="false" outlineLevel="0" collapsed="false">
      <c r="A52" s="116" t="s">
        <v>604</v>
      </c>
      <c r="B52" s="79" t="n">
        <v>0.1607</v>
      </c>
      <c r="C52" s="55" t="s">
        <v>145</v>
      </c>
      <c r="D52" s="1" t="n">
        <f aca="false">B52*$J$8</f>
        <v>77.410797</v>
      </c>
      <c r="E52" s="28" t="n">
        <f aca="false">U287</f>
        <v>19.2386832</v>
      </c>
      <c r="F52" s="56" t="n">
        <f aca="false">D52*E52</f>
        <v>1489.28179974251</v>
      </c>
      <c r="H52" s="79"/>
      <c r="I52" s="28"/>
      <c r="Y52" s="1" t="s">
        <v>311</v>
      </c>
      <c r="AC52" s="55" t="s">
        <v>312</v>
      </c>
      <c r="AD52" s="56"/>
      <c r="AE52" s="57" t="n">
        <v>3</v>
      </c>
      <c r="AF52" s="28" t="n">
        <f aca="false">AG45</f>
        <v>18.6572</v>
      </c>
      <c r="AG52" s="28" t="n">
        <f aca="false">AE52%*AF52</f>
        <v>0.559716</v>
      </c>
    </row>
    <row r="53" customFormat="false" ht="15" hidden="false" customHeight="false" outlineLevel="0" collapsed="false">
      <c r="A53" s="116" t="s">
        <v>606</v>
      </c>
      <c r="B53" s="79" t="n">
        <v>0.1889</v>
      </c>
      <c r="C53" s="55" t="s">
        <v>145</v>
      </c>
      <c r="D53" s="1" t="n">
        <f aca="false">B53*$J$8</f>
        <v>90.995019</v>
      </c>
      <c r="E53" s="28" t="n">
        <f aca="false">U288</f>
        <v>19.2386832</v>
      </c>
      <c r="F53" s="56" t="n">
        <f aca="false">D53*E53</f>
        <v>1750.62434331898</v>
      </c>
      <c r="H53" s="79"/>
      <c r="I53" s="28"/>
      <c r="X53" s="60"/>
      <c r="Y53" s="60"/>
      <c r="Z53" s="60"/>
      <c r="AA53" s="60"/>
      <c r="AB53" s="60"/>
      <c r="AC53" s="60"/>
      <c r="AD53" s="60"/>
      <c r="AE53" s="60"/>
      <c r="AF53" s="60"/>
      <c r="AG53" s="61" t="n">
        <f aca="false">SUM(AG52)</f>
        <v>0.559716</v>
      </c>
    </row>
    <row r="55" customFormat="false" ht="15" hidden="false" customHeight="false" outlineLevel="0" collapsed="false">
      <c r="A55" s="168" t="s">
        <v>81</v>
      </c>
      <c r="C55" s="1" t="s">
        <v>134</v>
      </c>
      <c r="E55" s="28" t="n">
        <f aca="false">V325</f>
        <v>171.725839133337</v>
      </c>
      <c r="G55" s="53" t="n">
        <f aca="false">SUM(F58:F65)</f>
        <v>1717.25839133337</v>
      </c>
      <c r="M55" s="14" t="s">
        <v>278</v>
      </c>
      <c r="N55" s="14"/>
      <c r="O55" s="14" t="s">
        <v>1339</v>
      </c>
      <c r="P55" s="14"/>
      <c r="Q55" s="14"/>
      <c r="R55" s="14"/>
      <c r="S55" s="14"/>
      <c r="T55" s="14"/>
      <c r="U55" s="14"/>
      <c r="X55" s="14" t="s">
        <v>278</v>
      </c>
      <c r="Y55" s="14"/>
      <c r="Z55" s="14" t="s">
        <v>335</v>
      </c>
      <c r="AA55" s="14"/>
    </row>
    <row r="56" customFormat="false" ht="15" hidden="false" customHeight="false" outlineLevel="0" collapsed="false">
      <c r="A56" s="117"/>
      <c r="C56" s="55"/>
      <c r="E56" s="28"/>
      <c r="F56" s="56"/>
      <c r="M56" s="14" t="s">
        <v>279</v>
      </c>
      <c r="N56" s="14" t="s">
        <v>326</v>
      </c>
      <c r="O56" s="36" t="s">
        <v>281</v>
      </c>
      <c r="P56" s="52" t="n">
        <v>1</v>
      </c>
      <c r="Q56" s="36" t="s">
        <v>282</v>
      </c>
      <c r="R56" s="52" t="n">
        <f aca="false">P56</f>
        <v>1</v>
      </c>
      <c r="S56" s="14" t="s">
        <v>283</v>
      </c>
      <c r="U56" s="36" t="s">
        <v>150</v>
      </c>
      <c r="V56" s="53" t="n">
        <f aca="false">V72</f>
        <v>162.7139058</v>
      </c>
      <c r="X56" s="14" t="s">
        <v>279</v>
      </c>
      <c r="Y56" s="14" t="s">
        <v>280</v>
      </c>
      <c r="Z56" s="36" t="s">
        <v>281</v>
      </c>
      <c r="AA56" s="52" t="n">
        <v>90</v>
      </c>
      <c r="AB56" s="36" t="s">
        <v>282</v>
      </c>
      <c r="AC56" s="52" t="n">
        <f aca="false">AA56</f>
        <v>90</v>
      </c>
      <c r="AD56" s="14" t="s">
        <v>283</v>
      </c>
      <c r="AF56" s="36" t="s">
        <v>134</v>
      </c>
      <c r="AG56" s="53" t="n">
        <f aca="false">AG61+AG64</f>
        <v>2.19577688888889</v>
      </c>
    </row>
    <row r="57" customFormat="false" ht="15" hidden="false" customHeight="false" outlineLevel="0" collapsed="false">
      <c r="A57" s="117"/>
      <c r="C57" s="55"/>
      <c r="E57" s="28"/>
      <c r="F57" s="56"/>
      <c r="M57" s="14" t="s">
        <v>284</v>
      </c>
      <c r="N57" s="14" t="s">
        <v>285</v>
      </c>
      <c r="R57" s="36" t="s">
        <v>123</v>
      </c>
      <c r="S57" s="36" t="s">
        <v>286</v>
      </c>
      <c r="T57" s="36" t="s">
        <v>287</v>
      </c>
      <c r="U57" s="36" t="s">
        <v>288</v>
      </c>
      <c r="V57" s="36" t="s">
        <v>289</v>
      </c>
      <c r="X57" s="14" t="s">
        <v>284</v>
      </c>
      <c r="Y57" s="14" t="s">
        <v>285</v>
      </c>
      <c r="AC57" s="36" t="s">
        <v>123</v>
      </c>
      <c r="AD57" s="36" t="s">
        <v>286</v>
      </c>
      <c r="AE57" s="36" t="s">
        <v>287</v>
      </c>
      <c r="AF57" s="36" t="s">
        <v>288</v>
      </c>
      <c r="AG57" s="36" t="s">
        <v>289</v>
      </c>
    </row>
    <row r="58" customFormat="false" ht="15" hidden="false" customHeight="false" outlineLevel="0" collapsed="false">
      <c r="A58" s="117" t="s">
        <v>1329</v>
      </c>
      <c r="B58" s="185" t="n">
        <v>1</v>
      </c>
      <c r="C58" s="55" t="s">
        <v>204</v>
      </c>
      <c r="D58" s="1" t="n">
        <f aca="false">B58*$J$9</f>
        <v>10</v>
      </c>
      <c r="E58" s="28" t="n">
        <f aca="false">U330</f>
        <v>7.930344</v>
      </c>
      <c r="F58" s="56" t="n">
        <f aca="false">D58*E58</f>
        <v>79.30344</v>
      </c>
      <c r="N58" s="54" t="s">
        <v>737</v>
      </c>
      <c r="Y58" s="54" t="s">
        <v>290</v>
      </c>
    </row>
    <row r="59" customFormat="false" ht="15" hidden="false" customHeight="false" outlineLevel="0" collapsed="false">
      <c r="A59" s="118" t="s">
        <v>1331</v>
      </c>
      <c r="B59" s="186" t="n">
        <v>0.33</v>
      </c>
      <c r="C59" s="55" t="s">
        <v>134</v>
      </c>
      <c r="D59" s="1" t="n">
        <f aca="false">B59*$J$9</f>
        <v>3.3</v>
      </c>
      <c r="E59" s="28" t="n">
        <f aca="false">U331</f>
        <v>77.2277048</v>
      </c>
      <c r="F59" s="56" t="n">
        <f aca="false">D59*E59</f>
        <v>254.85142584</v>
      </c>
      <c r="R59" s="55"/>
      <c r="S59" s="56"/>
      <c r="T59" s="57"/>
      <c r="U59" s="28"/>
      <c r="V59" s="28"/>
      <c r="Y59" s="1" t="s">
        <v>651</v>
      </c>
      <c r="AC59" s="55" t="s">
        <v>292</v>
      </c>
      <c r="AD59" s="56" t="n">
        <v>0.1</v>
      </c>
      <c r="AE59" s="57" t="n">
        <f aca="false">AD59*8/$AA$56</f>
        <v>0.00888888888888889</v>
      </c>
      <c r="AF59" s="1" t="n">
        <v>34.73</v>
      </c>
      <c r="AG59" s="28" t="n">
        <f aca="false">AE59*AF59</f>
        <v>0.308711111111111</v>
      </c>
    </row>
    <row r="60" customFormat="false" ht="15" hidden="false" customHeight="false" outlineLevel="0" collapsed="false">
      <c r="A60" s="119" t="s">
        <v>844</v>
      </c>
      <c r="B60" s="187" t="n">
        <v>1</v>
      </c>
      <c r="C60" s="55" t="s">
        <v>155</v>
      </c>
      <c r="D60" s="1" t="n">
        <f aca="false">B60*$J$9</f>
        <v>10</v>
      </c>
      <c r="E60" s="28" t="n">
        <f aca="false">U332</f>
        <v>22</v>
      </c>
      <c r="F60" s="56" t="n">
        <f aca="false">D60*E60</f>
        <v>220</v>
      </c>
      <c r="R60" s="55"/>
      <c r="S60" s="56"/>
      <c r="T60" s="57"/>
      <c r="U60" s="28"/>
      <c r="V60" s="28"/>
      <c r="Y60" s="1" t="s">
        <v>294</v>
      </c>
      <c r="AC60" s="55" t="s">
        <v>292</v>
      </c>
      <c r="AD60" s="56" t="n">
        <v>1</v>
      </c>
      <c r="AE60" s="57" t="n">
        <f aca="false">AD60*8/$AA$56</f>
        <v>0.0888888888888889</v>
      </c>
      <c r="AF60" s="1" t="n">
        <v>20.51</v>
      </c>
      <c r="AG60" s="28" t="n">
        <f aca="false">AE60*AF60</f>
        <v>1.82311111111111</v>
      </c>
    </row>
    <row r="61" customFormat="false" ht="15" hidden="false" customHeight="false" outlineLevel="0" collapsed="false">
      <c r="A61" s="119" t="s">
        <v>630</v>
      </c>
      <c r="B61" s="187" t="n">
        <v>0.225</v>
      </c>
      <c r="C61" s="55" t="s">
        <v>134</v>
      </c>
      <c r="D61" s="1" t="n">
        <f aca="false">B61*$J$9</f>
        <v>2.25</v>
      </c>
      <c r="E61" s="28" t="n">
        <f aca="false">U333</f>
        <v>84.6740433333333</v>
      </c>
      <c r="F61" s="56" t="n">
        <f aca="false">D61*E61</f>
        <v>190.5165975</v>
      </c>
      <c r="N61" s="1" t="s">
        <v>1340</v>
      </c>
      <c r="R61" s="55" t="s">
        <v>204</v>
      </c>
      <c r="T61" s="57" t="n">
        <v>1</v>
      </c>
      <c r="U61" s="28" t="n">
        <f aca="false">AG74</f>
        <v>7.930344</v>
      </c>
      <c r="V61" s="28" t="n">
        <f aca="false">T61*U61</f>
        <v>7.930344</v>
      </c>
      <c r="AC61" s="55"/>
      <c r="AD61" s="56"/>
      <c r="AE61" s="57"/>
      <c r="AG61" s="53" t="n">
        <f aca="false">SUM(AG59:AG60)</f>
        <v>2.13182222222222</v>
      </c>
    </row>
    <row r="62" customFormat="false" ht="15" hidden="false" customHeight="false" outlineLevel="0" collapsed="false">
      <c r="A62" s="119" t="s">
        <v>632</v>
      </c>
      <c r="B62" s="187" t="n">
        <v>0.2</v>
      </c>
      <c r="C62" s="55" t="s">
        <v>297</v>
      </c>
      <c r="D62" s="1" t="n">
        <f aca="false">B62*$J$9</f>
        <v>2</v>
      </c>
      <c r="E62" s="28" t="n">
        <f aca="false">U334</f>
        <v>7.50579971428572</v>
      </c>
      <c r="F62" s="56" t="n">
        <f aca="false">D62*E62</f>
        <v>15.0115994285714</v>
      </c>
      <c r="N62" s="1" t="s">
        <v>1331</v>
      </c>
      <c r="R62" s="55" t="s">
        <v>204</v>
      </c>
      <c r="T62" s="57" t="n">
        <v>0.33</v>
      </c>
      <c r="U62" s="28" t="n">
        <f aca="false">AG89</f>
        <v>77.2277048</v>
      </c>
      <c r="V62" s="28" t="n">
        <f aca="false">T62*U62</f>
        <v>25.485142584</v>
      </c>
      <c r="Y62" s="54" t="s">
        <v>310</v>
      </c>
    </row>
    <row r="63" customFormat="false" ht="15" hidden="false" customHeight="false" outlineLevel="0" collapsed="false">
      <c r="A63" s="119" t="s">
        <v>1341</v>
      </c>
      <c r="B63" s="187" t="n">
        <v>1</v>
      </c>
      <c r="C63" s="55" t="s">
        <v>134</v>
      </c>
      <c r="D63" s="1" t="n">
        <f aca="false">B63*$J$9</f>
        <v>10</v>
      </c>
      <c r="E63" s="28" t="n">
        <f aca="false">U335</f>
        <v>2.9418736</v>
      </c>
      <c r="F63" s="56" t="n">
        <f aca="false">D63*E63</f>
        <v>29.418736</v>
      </c>
      <c r="N63" s="1" t="s">
        <v>594</v>
      </c>
      <c r="R63" s="55" t="s">
        <v>134</v>
      </c>
      <c r="T63" s="57" t="n">
        <v>0.22</v>
      </c>
      <c r="U63" s="28" t="n">
        <f aca="false">AG106</f>
        <v>445.669224</v>
      </c>
      <c r="V63" s="28" t="n">
        <f aca="false">T63*U63</f>
        <v>98.04722928</v>
      </c>
      <c r="Y63" s="1" t="s">
        <v>311</v>
      </c>
      <c r="AC63" s="55" t="s">
        <v>312</v>
      </c>
      <c r="AE63" s="57" t="n">
        <v>3</v>
      </c>
      <c r="AF63" s="28" t="n">
        <f aca="false">AG61</f>
        <v>2.13182222222222</v>
      </c>
      <c r="AG63" s="28" t="n">
        <f aca="false">AE63%*AF63</f>
        <v>0.0639546666666667</v>
      </c>
    </row>
    <row r="64" customFormat="false" ht="15" hidden="false" customHeight="false" outlineLevel="0" collapsed="false">
      <c r="A64" s="119" t="s">
        <v>635</v>
      </c>
      <c r="B64" s="187" t="n">
        <v>0.2</v>
      </c>
      <c r="C64" s="55" t="s">
        <v>204</v>
      </c>
      <c r="D64" s="1" t="n">
        <f aca="false">B64*$J$9</f>
        <v>2</v>
      </c>
      <c r="E64" s="28" t="n">
        <f aca="false">U336</f>
        <v>445.90736</v>
      </c>
      <c r="F64" s="56" t="n">
        <f aca="false">D64*E64</f>
        <v>891.81472</v>
      </c>
      <c r="N64" s="1" t="s">
        <v>596</v>
      </c>
      <c r="R64" s="55" t="s">
        <v>204</v>
      </c>
      <c r="T64" s="57" t="n">
        <v>0.0144</v>
      </c>
      <c r="U64" s="28" t="n">
        <f aca="false">AG125</f>
        <v>445.669224</v>
      </c>
      <c r="V64" s="28" t="n">
        <f aca="false">T64*U64</f>
        <v>6.4176368256</v>
      </c>
      <c r="X64" s="60"/>
      <c r="Y64" s="60"/>
      <c r="Z64" s="60"/>
      <c r="AA64" s="60"/>
      <c r="AB64" s="60"/>
      <c r="AC64" s="62"/>
      <c r="AD64" s="60"/>
      <c r="AE64" s="64"/>
      <c r="AF64" s="65"/>
      <c r="AG64" s="61" t="n">
        <f aca="false">SUM(AG63)</f>
        <v>0.0639546666666667</v>
      </c>
    </row>
    <row r="65" customFormat="false" ht="15" hidden="false" customHeight="false" outlineLevel="0" collapsed="false">
      <c r="A65" s="119" t="s">
        <v>606</v>
      </c>
      <c r="B65" s="187" t="n">
        <v>0.1889</v>
      </c>
      <c r="C65" s="55" t="s">
        <v>145</v>
      </c>
      <c r="D65" s="1" t="n">
        <f aca="false">B65*$J$9</f>
        <v>1.889</v>
      </c>
      <c r="E65" s="28" t="n">
        <f aca="false">U337</f>
        <v>19.2386832</v>
      </c>
      <c r="F65" s="56" t="n">
        <f aca="false">D65*E65</f>
        <v>36.3418725648</v>
      </c>
      <c r="N65" s="1" t="s">
        <v>598</v>
      </c>
      <c r="R65" s="55" t="s">
        <v>134</v>
      </c>
      <c r="T65" s="57" t="n">
        <v>0.0766</v>
      </c>
      <c r="U65" s="28" t="n">
        <f aca="false">AG144</f>
        <v>118.0135648</v>
      </c>
      <c r="V65" s="28" t="n">
        <f aca="false">T65*U65</f>
        <v>9.03983906368</v>
      </c>
    </row>
    <row r="66" customFormat="false" ht="15" hidden="false" customHeight="false" outlineLevel="0" collapsed="false">
      <c r="A66" s="168" t="s">
        <v>82</v>
      </c>
      <c r="C66" s="1" t="s">
        <v>134</v>
      </c>
      <c r="D66" s="1" t="n">
        <f aca="false">J10</f>
        <v>10</v>
      </c>
      <c r="E66" s="28" t="n">
        <f aca="false">V390</f>
        <v>75.46</v>
      </c>
      <c r="F66" s="56" t="n">
        <f aca="false">D66*E66</f>
        <v>754.6</v>
      </c>
      <c r="N66" s="1" t="s">
        <v>600</v>
      </c>
      <c r="R66" s="55" t="s">
        <v>204</v>
      </c>
      <c r="T66" s="57" t="n">
        <v>0.0008</v>
      </c>
      <c r="U66" s="28" t="n">
        <f aca="false">AG163</f>
        <v>358</v>
      </c>
      <c r="V66" s="28" t="n">
        <f aca="false">T66*U66</f>
        <v>0.2864</v>
      </c>
      <c r="X66" s="14" t="s">
        <v>278</v>
      </c>
      <c r="Y66" s="14"/>
      <c r="Z66" s="14" t="s">
        <v>1342</v>
      </c>
      <c r="AA66" s="14"/>
    </row>
    <row r="67" customFormat="false" ht="15" hidden="false" customHeight="false" outlineLevel="0" collapsed="false">
      <c r="F67" s="56"/>
      <c r="N67" s="1" t="s">
        <v>602</v>
      </c>
      <c r="R67" s="55" t="s">
        <v>134</v>
      </c>
      <c r="T67" s="57" t="n">
        <v>1</v>
      </c>
      <c r="U67" s="28" t="n">
        <f aca="false">AG170</f>
        <v>2.9418736</v>
      </c>
      <c r="V67" s="28" t="n">
        <f aca="false">T67*U67</f>
        <v>2.9418736</v>
      </c>
      <c r="X67" s="14" t="s">
        <v>279</v>
      </c>
      <c r="Y67" s="14" t="s">
        <v>280</v>
      </c>
      <c r="Z67" s="36" t="s">
        <v>281</v>
      </c>
      <c r="AA67" s="52" t="n">
        <v>1</v>
      </c>
      <c r="AB67" s="36" t="s">
        <v>282</v>
      </c>
      <c r="AC67" s="52" t="n">
        <f aca="false">AA67</f>
        <v>1</v>
      </c>
      <c r="AD67" s="14" t="s">
        <v>283</v>
      </c>
      <c r="AF67" s="36" t="s">
        <v>134</v>
      </c>
      <c r="AG67" s="53" t="n">
        <f aca="false">AG71</f>
        <v>10.5</v>
      </c>
    </row>
    <row r="68" customFormat="false" ht="15" hidden="false" customHeight="false" outlineLevel="0" collapsed="false">
      <c r="A68" s="168" t="s">
        <v>83</v>
      </c>
      <c r="C68" s="1" t="s">
        <v>566</v>
      </c>
      <c r="D68" s="1" t="n">
        <f aca="false">J11</f>
        <v>1</v>
      </c>
      <c r="E68" s="28" t="n">
        <f aca="false">V397</f>
        <v>69.41</v>
      </c>
      <c r="G68" s="53" t="n">
        <f aca="false">D68*E68</f>
        <v>69.41</v>
      </c>
      <c r="N68" s="1" t="s">
        <v>604</v>
      </c>
      <c r="R68" s="55" t="s">
        <v>145</v>
      </c>
      <c r="T68" s="57" t="n">
        <v>0.1607</v>
      </c>
      <c r="U68" s="28" t="n">
        <f aca="false">AG183</f>
        <v>19.2386832</v>
      </c>
      <c r="V68" s="28" t="n">
        <f aca="false">T68*U68</f>
        <v>3.09165639024</v>
      </c>
      <c r="X68" s="14" t="s">
        <v>284</v>
      </c>
      <c r="Y68" s="14" t="s">
        <v>285</v>
      </c>
      <c r="AC68" s="36" t="s">
        <v>123</v>
      </c>
      <c r="AD68" s="36" t="s">
        <v>286</v>
      </c>
      <c r="AE68" s="36" t="s">
        <v>287</v>
      </c>
      <c r="AF68" s="36" t="s">
        <v>288</v>
      </c>
      <c r="AG68" s="36" t="s">
        <v>289</v>
      </c>
    </row>
    <row r="69" customFormat="false" ht="15" hidden="false" customHeight="false" outlineLevel="0" collapsed="false">
      <c r="F69" s="56"/>
      <c r="N69" s="1" t="s">
        <v>606</v>
      </c>
      <c r="R69" s="55" t="s">
        <v>145</v>
      </c>
      <c r="T69" s="57" t="n">
        <v>0.1889</v>
      </c>
      <c r="U69" s="28" t="n">
        <f aca="false">AG198</f>
        <v>19.2386832</v>
      </c>
      <c r="V69" s="28" t="n">
        <f aca="false">T69*U69</f>
        <v>3.63418725648</v>
      </c>
      <c r="Y69" s="54" t="s">
        <v>295</v>
      </c>
    </row>
    <row r="70" customFormat="false" ht="15" hidden="false" customHeight="false" outlineLevel="0" collapsed="false">
      <c r="F70" s="56"/>
      <c r="N70" s="1" t="s">
        <v>608</v>
      </c>
      <c r="R70" s="55" t="s">
        <v>145</v>
      </c>
      <c r="T70" s="57" t="n">
        <v>0.0074</v>
      </c>
      <c r="U70" s="28" t="n">
        <f aca="false">AG213</f>
        <v>616.64</v>
      </c>
      <c r="V70" s="28" t="n">
        <f aca="false">T70*U70</f>
        <v>4.563136</v>
      </c>
      <c r="Y70" s="1" t="s">
        <v>1342</v>
      </c>
      <c r="AE70" s="57" t="n">
        <v>1</v>
      </c>
      <c r="AF70" s="28" t="n">
        <v>10.5</v>
      </c>
      <c r="AG70" s="28" t="n">
        <f aca="false">AE70*AF70</f>
        <v>10.5</v>
      </c>
    </row>
    <row r="71" customFormat="false" ht="15" hidden="false" customHeight="false" outlineLevel="0" collapsed="false">
      <c r="A71" s="15" t="s">
        <v>113</v>
      </c>
      <c r="E71" s="28"/>
      <c r="F71" s="56"/>
      <c r="N71" s="1" t="s">
        <v>1336</v>
      </c>
      <c r="R71" s="55" t="s">
        <v>145</v>
      </c>
      <c r="T71" s="1" t="n">
        <v>0.025</v>
      </c>
      <c r="U71" s="28" t="n">
        <f aca="false">AG220</f>
        <v>51.058432</v>
      </c>
      <c r="V71" s="28" t="n">
        <f aca="false">T71*U71</f>
        <v>1.2764608</v>
      </c>
      <c r="X71" s="60"/>
      <c r="Y71" s="60"/>
      <c r="Z71" s="60"/>
      <c r="AA71" s="60"/>
      <c r="AB71" s="60"/>
      <c r="AC71" s="62"/>
      <c r="AD71" s="60"/>
      <c r="AE71" s="64"/>
      <c r="AF71" s="65"/>
      <c r="AG71" s="61" t="n">
        <f aca="false">SUM(AG70)</f>
        <v>10.5</v>
      </c>
    </row>
    <row r="72" customFormat="false" ht="15" hidden="false" customHeight="false" outlineLevel="0" collapsed="false">
      <c r="A72" s="1" t="s">
        <v>1343</v>
      </c>
      <c r="B72" s="1" t="n">
        <v>17.15</v>
      </c>
      <c r="C72" s="1" t="s">
        <v>1017</v>
      </c>
      <c r="D72" s="1" t="n">
        <v>1</v>
      </c>
      <c r="E72" s="28" t="n">
        <f aca="false">V400</f>
        <v>35681.59242</v>
      </c>
      <c r="F72" s="56" t="n">
        <f aca="false">D72*E72</f>
        <v>35681.59242</v>
      </c>
      <c r="M72" s="60"/>
      <c r="N72" s="60"/>
      <c r="O72" s="60"/>
      <c r="P72" s="60"/>
      <c r="Q72" s="60"/>
      <c r="R72" s="62"/>
      <c r="S72" s="60"/>
      <c r="T72" s="60"/>
      <c r="U72" s="60"/>
      <c r="V72" s="61" t="n">
        <f aca="false">SUM(V59:V71)</f>
        <v>162.7139058</v>
      </c>
    </row>
    <row r="73" customFormat="false" ht="15" hidden="false" customHeight="false" outlineLevel="0" collapsed="false">
      <c r="A73" s="1" t="s">
        <v>1344</v>
      </c>
      <c r="B73" s="1" t="n">
        <v>12.75</v>
      </c>
      <c r="C73" s="1" t="s">
        <v>1017</v>
      </c>
      <c r="D73" s="1" t="n">
        <v>1</v>
      </c>
      <c r="E73" s="28" t="n">
        <f aca="false">V407</f>
        <v>14616.94</v>
      </c>
      <c r="F73" s="56" t="n">
        <f aca="false">D73*E73</f>
        <v>14616.94</v>
      </c>
      <c r="X73" s="14" t="s">
        <v>1324</v>
      </c>
      <c r="Y73" s="14"/>
      <c r="Z73" s="14" t="s">
        <v>1345</v>
      </c>
      <c r="AB73" s="14"/>
      <c r="AC73" s="14"/>
      <c r="AD73" s="14"/>
      <c r="AE73" s="14"/>
      <c r="AF73" s="14"/>
    </row>
    <row r="74" customFormat="false" ht="15" hidden="false" customHeight="false" outlineLevel="0" collapsed="false">
      <c r="A74" s="1" t="s">
        <v>1346</v>
      </c>
      <c r="B74" s="1" t="n">
        <v>28.63</v>
      </c>
      <c r="C74" s="1" t="s">
        <v>1017</v>
      </c>
      <c r="D74" s="1" t="n">
        <v>1</v>
      </c>
      <c r="E74" s="28" t="n">
        <f aca="false">V414</f>
        <v>76109.66</v>
      </c>
      <c r="F74" s="56" t="n">
        <f aca="false">D74*E74</f>
        <v>76109.66</v>
      </c>
      <c r="X74" s="14" t="s">
        <v>279</v>
      </c>
      <c r="Y74" s="14" t="s">
        <v>280</v>
      </c>
      <c r="Z74" s="36" t="s">
        <v>281</v>
      </c>
      <c r="AA74" s="52" t="n">
        <v>500</v>
      </c>
      <c r="AB74" s="36" t="s">
        <v>282</v>
      </c>
      <c r="AC74" s="52" t="n">
        <f aca="false">AA74</f>
        <v>500</v>
      </c>
      <c r="AD74" s="14" t="s">
        <v>283</v>
      </c>
      <c r="AF74" s="36" t="s">
        <v>134</v>
      </c>
      <c r="AG74" s="53" t="n">
        <f aca="false">AG80+AG86</f>
        <v>7.930344</v>
      </c>
    </row>
    <row r="75" customFormat="false" ht="15" hidden="false" customHeight="false" outlineLevel="0" collapsed="false">
      <c r="A75" s="1" t="s">
        <v>1347</v>
      </c>
      <c r="C75" s="1" t="s">
        <v>1017</v>
      </c>
      <c r="D75" s="1" t="n">
        <v>1</v>
      </c>
      <c r="E75" s="28" t="n">
        <f aca="false">V421</f>
        <v>95160</v>
      </c>
      <c r="F75" s="56" t="n">
        <f aca="false">D75*E75</f>
        <v>95160</v>
      </c>
      <c r="X75" s="14" t="s">
        <v>284</v>
      </c>
      <c r="Y75" s="14" t="s">
        <v>285</v>
      </c>
      <c r="AC75" s="36" t="s">
        <v>123</v>
      </c>
      <c r="AD75" s="36" t="s">
        <v>286</v>
      </c>
      <c r="AE75" s="36" t="s">
        <v>287</v>
      </c>
      <c r="AF75" s="36" t="s">
        <v>288</v>
      </c>
      <c r="AG75" s="36" t="s">
        <v>289</v>
      </c>
    </row>
    <row r="76" customFormat="false" ht="15" hidden="false" customHeight="false" outlineLevel="0" collapsed="false">
      <c r="A76" s="15" t="s">
        <v>1348</v>
      </c>
      <c r="F76" s="56"/>
      <c r="Y76" s="54" t="s">
        <v>290</v>
      </c>
    </row>
    <row r="77" customFormat="false" ht="15" hidden="false" customHeight="false" outlineLevel="0" collapsed="false">
      <c r="A77" s="1" t="s">
        <v>1349</v>
      </c>
      <c r="C77" s="1" t="s">
        <v>1350</v>
      </c>
      <c r="D77" s="1" t="n">
        <f aca="false">J12</f>
        <v>10</v>
      </c>
      <c r="E77" s="28" t="n">
        <f aca="false">V428</f>
        <v>3770.83894085957</v>
      </c>
      <c r="F77" s="56"/>
      <c r="G77" s="169" t="n">
        <f aca="false">SUM(F78:F90)</f>
        <v>37435.0195928074</v>
      </c>
      <c r="Y77" s="1" t="s">
        <v>651</v>
      </c>
      <c r="AC77" s="55" t="s">
        <v>292</v>
      </c>
      <c r="AD77" s="56" t="n">
        <v>1</v>
      </c>
      <c r="AE77" s="57" t="n">
        <f aca="false">AD77*8/$AA$74</f>
        <v>0.016</v>
      </c>
      <c r="AF77" s="1" t="n">
        <v>34.73</v>
      </c>
      <c r="AG77" s="28" t="n">
        <f aca="false">AE77*AF77</f>
        <v>0.55568</v>
      </c>
    </row>
    <row r="78" customFormat="false" ht="15" hidden="false" customHeight="false" outlineLevel="0" collapsed="false">
      <c r="A78" s="1" t="s">
        <v>1351</v>
      </c>
      <c r="C78" s="55" t="s">
        <v>204</v>
      </c>
      <c r="D78" s="57" t="n">
        <f aca="false">1.98*$J$12</f>
        <v>19.8</v>
      </c>
      <c r="E78" s="28" t="n">
        <f aca="false">U431</f>
        <v>56.4628342857143</v>
      </c>
      <c r="F78" s="56" t="n">
        <f aca="false">D78*E78</f>
        <v>1117.96411885714</v>
      </c>
      <c r="Y78" s="1" t="s">
        <v>293</v>
      </c>
      <c r="AC78" s="55" t="s">
        <v>292</v>
      </c>
      <c r="AD78" s="56" t="n">
        <v>1</v>
      </c>
      <c r="AE78" s="57" t="n">
        <f aca="false">AD78*8/$AA$74</f>
        <v>0.016</v>
      </c>
      <c r="AF78" s="1" t="n">
        <v>23.6</v>
      </c>
      <c r="AG78" s="28" t="n">
        <f aca="false">AE78*AF78</f>
        <v>0.3776</v>
      </c>
    </row>
    <row r="79" customFormat="false" ht="15" hidden="false" customHeight="false" outlineLevel="0" collapsed="false">
      <c r="A79" s="1" t="s">
        <v>463</v>
      </c>
      <c r="C79" s="55" t="s">
        <v>204</v>
      </c>
      <c r="D79" s="57" t="n">
        <f aca="false">0.682058823529411*$J$12</f>
        <v>6.82058823529411</v>
      </c>
      <c r="E79" s="28" t="n">
        <f aca="false">U432</f>
        <v>77.2277048</v>
      </c>
      <c r="F79" s="56" t="n">
        <f aca="false">D79*E79</f>
        <v>526.738374797647</v>
      </c>
      <c r="R79" s="55"/>
      <c r="Y79" s="1" t="s">
        <v>294</v>
      </c>
      <c r="AC79" s="55" t="s">
        <v>292</v>
      </c>
      <c r="AD79" s="56" t="n">
        <v>3</v>
      </c>
      <c r="AE79" s="57" t="n">
        <f aca="false">AD79*8/$AA$74</f>
        <v>0.048</v>
      </c>
      <c r="AF79" s="1" t="n">
        <v>20.51</v>
      </c>
      <c r="AG79" s="28" t="n">
        <f aca="false">AE79*AF79</f>
        <v>0.98448</v>
      </c>
    </row>
    <row r="80" customFormat="false" ht="15" hidden="false" customHeight="false" outlineLevel="0" collapsed="false">
      <c r="A80" s="1" t="s">
        <v>465</v>
      </c>
      <c r="C80" s="55" t="s">
        <v>204</v>
      </c>
      <c r="D80" s="57" t="n">
        <f aca="false">0.892941176470588*$JJ$9</f>
        <v>0</v>
      </c>
      <c r="E80" s="28" t="n">
        <f aca="false">U433</f>
        <v>30.614538</v>
      </c>
      <c r="F80" s="56" t="n">
        <f aca="false">D80*E80</f>
        <v>0</v>
      </c>
      <c r="R80" s="55"/>
      <c r="AC80" s="55"/>
      <c r="AG80" s="53" t="n">
        <f aca="false">SUM(AG77:AG79)</f>
        <v>1.91776</v>
      </c>
    </row>
    <row r="81" customFormat="false" ht="15" hidden="false" customHeight="false" outlineLevel="0" collapsed="false">
      <c r="A81" s="1" t="s">
        <v>469</v>
      </c>
      <c r="C81" s="55" t="s">
        <v>204</v>
      </c>
      <c r="D81" s="57" t="n">
        <f aca="false">0.50625*$J$12</f>
        <v>5.0625</v>
      </c>
      <c r="E81" s="28" t="n">
        <f aca="false">U434</f>
        <v>12.11253</v>
      </c>
      <c r="F81" s="56" t="n">
        <f aca="false">D81*E81</f>
        <v>61.319683125</v>
      </c>
      <c r="R81" s="55"/>
      <c r="V81" s="28"/>
      <c r="Y81" s="54" t="s">
        <v>318</v>
      </c>
      <c r="AC81" s="55"/>
      <c r="AD81" s="56"/>
    </row>
    <row r="82" customFormat="false" ht="15" hidden="false" customHeight="false" outlineLevel="0" collapsed="false">
      <c r="A82" s="1" t="s">
        <v>471</v>
      </c>
      <c r="C82" s="55" t="s">
        <v>204</v>
      </c>
      <c r="D82" s="57" t="n">
        <f aca="false">0.50625*$J$12</f>
        <v>5.0625</v>
      </c>
      <c r="E82" s="28" t="n">
        <f aca="false">U435</f>
        <v>22.9100074666667</v>
      </c>
      <c r="F82" s="56" t="n">
        <f aca="false">D82*E82</f>
        <v>115.9819128</v>
      </c>
      <c r="R82" s="55"/>
      <c r="U82" s="28"/>
      <c r="V82" s="28"/>
      <c r="Y82" s="1" t="s">
        <v>311</v>
      </c>
      <c r="AC82" s="55" t="s">
        <v>312</v>
      </c>
      <c r="AE82" s="57" t="n">
        <v>5</v>
      </c>
      <c r="AF82" s="28" t="n">
        <f aca="false">AG77</f>
        <v>0.55568</v>
      </c>
      <c r="AG82" s="28" t="n">
        <f aca="false">AE82%*AF82</f>
        <v>0.027784</v>
      </c>
    </row>
    <row r="83" customFormat="false" ht="15" hidden="false" customHeight="false" outlineLevel="0" collapsed="false">
      <c r="A83" s="1" t="s">
        <v>642</v>
      </c>
      <c r="C83" s="55" t="s">
        <v>145</v>
      </c>
      <c r="D83" s="57" t="n">
        <f aca="false">1*$J$12</f>
        <v>10</v>
      </c>
      <c r="E83" s="28" t="n">
        <f aca="false">U436</f>
        <v>1489.7348144</v>
      </c>
      <c r="F83" s="56" t="n">
        <f aca="false">D83*E83</f>
        <v>14897.348144</v>
      </c>
      <c r="R83" s="55"/>
      <c r="Y83" s="1" t="s">
        <v>657</v>
      </c>
      <c r="AC83" s="55" t="s">
        <v>338</v>
      </c>
      <c r="AD83" s="56" t="n">
        <v>1</v>
      </c>
      <c r="AE83" s="57" t="n">
        <f aca="false">AD83*8/$AA$74</f>
        <v>0.016</v>
      </c>
      <c r="AF83" s="1" t="n">
        <v>17.47</v>
      </c>
      <c r="AG83" s="28" t="n">
        <f aca="false">AE83*AF83</f>
        <v>0.27952</v>
      </c>
    </row>
    <row r="84" customFormat="false" ht="15" hidden="false" customHeight="false" outlineLevel="0" collapsed="false">
      <c r="A84" s="1" t="s">
        <v>1352</v>
      </c>
      <c r="C84" s="55" t="s">
        <v>145</v>
      </c>
      <c r="D84" s="57" t="n">
        <f aca="false">1*$J$12</f>
        <v>10</v>
      </c>
      <c r="E84" s="28" t="n">
        <f aca="false">U437</f>
        <v>1583.5817404</v>
      </c>
      <c r="F84" s="56" t="n">
        <f aca="false">D84*E84</f>
        <v>15835.817404</v>
      </c>
      <c r="R84" s="55"/>
      <c r="Y84" s="1" t="s">
        <v>659</v>
      </c>
      <c r="AC84" s="55" t="s">
        <v>338</v>
      </c>
      <c r="AD84" s="56" t="n">
        <v>1</v>
      </c>
      <c r="AE84" s="57" t="n">
        <f aca="false">AD84*8/$AA$74</f>
        <v>0.016</v>
      </c>
      <c r="AF84" s="1" t="n">
        <v>136.06</v>
      </c>
      <c r="AG84" s="28" t="n">
        <f aca="false">AE84*AF84</f>
        <v>2.17696</v>
      </c>
    </row>
    <row r="85" customFormat="false" ht="15" hidden="false" customHeight="false" outlineLevel="0" collapsed="false">
      <c r="A85" s="1" t="s">
        <v>646</v>
      </c>
      <c r="C85" s="55" t="s">
        <v>145</v>
      </c>
      <c r="D85" s="57" t="n">
        <f aca="false">1*$J$12</f>
        <v>10</v>
      </c>
      <c r="E85" s="28" t="n">
        <f aca="false">U438</f>
        <v>107.845655777778</v>
      </c>
      <c r="F85" s="56" t="n">
        <f aca="false">D85*E85</f>
        <v>1078.45655777778</v>
      </c>
      <c r="R85" s="55"/>
      <c r="Y85" s="1" t="s">
        <v>660</v>
      </c>
      <c r="Z85" s="81"/>
      <c r="AA85" s="81"/>
      <c r="AB85" s="81"/>
      <c r="AC85" s="55" t="s">
        <v>338</v>
      </c>
      <c r="AD85" s="56" t="n">
        <v>1</v>
      </c>
      <c r="AE85" s="57" t="n">
        <f aca="false">AD85*8/$AA$74</f>
        <v>0.016</v>
      </c>
      <c r="AF85" s="1" t="n">
        <v>220.52</v>
      </c>
      <c r="AG85" s="28" t="n">
        <f aca="false">AE85*AF85</f>
        <v>3.52832</v>
      </c>
    </row>
    <row r="86" customFormat="false" ht="15" hidden="false" customHeight="false" outlineLevel="0" collapsed="false">
      <c r="A86" s="1" t="s">
        <v>849</v>
      </c>
      <c r="C86" s="55" t="s">
        <v>145</v>
      </c>
      <c r="D86" s="57" t="n">
        <f aca="false">2.16060606060606*$J$12</f>
        <v>21.6060606060606</v>
      </c>
      <c r="E86" s="28" t="n">
        <f aca="false">U439</f>
        <v>110.42</v>
      </c>
      <c r="F86" s="56" t="n">
        <f aca="false">D86*E86</f>
        <v>2385.74121212121</v>
      </c>
      <c r="R86" s="55"/>
      <c r="X86" s="60"/>
      <c r="Y86" s="60"/>
      <c r="Z86" s="60"/>
      <c r="AA86" s="60"/>
      <c r="AB86" s="60"/>
      <c r="AC86" s="60"/>
      <c r="AD86" s="60"/>
      <c r="AE86" s="60"/>
      <c r="AF86" s="60"/>
      <c r="AG86" s="61" t="n">
        <f aca="false">SUM(AG82:AG85)</f>
        <v>6.012584</v>
      </c>
    </row>
    <row r="87" customFormat="false" ht="15" hidden="false" customHeight="false" outlineLevel="0" collapsed="false">
      <c r="A87" s="1" t="s">
        <v>648</v>
      </c>
      <c r="C87" s="55" t="s">
        <v>145</v>
      </c>
      <c r="D87" s="57" t="n">
        <f aca="false">0.119318181818182*$J$12</f>
        <v>1.19318181818182</v>
      </c>
      <c r="E87" s="28" t="n">
        <f aca="false">U440</f>
        <v>18.8570064</v>
      </c>
      <c r="F87" s="56" t="n">
        <f aca="false">D87*E87</f>
        <v>22.4998371818182</v>
      </c>
    </row>
    <row r="88" customFormat="false" ht="15" hidden="false" customHeight="false" outlineLevel="0" collapsed="false">
      <c r="A88" s="1" t="s">
        <v>851</v>
      </c>
      <c r="C88" s="55" t="s">
        <v>134</v>
      </c>
      <c r="D88" s="57" t="n">
        <f aca="false">0.386363636363636*$J$12</f>
        <v>3.86363636363636</v>
      </c>
      <c r="E88" s="28" t="n">
        <f aca="false">U441</f>
        <v>67.7683724615385</v>
      </c>
      <c r="F88" s="56" t="n">
        <f aca="false">D88*E88</f>
        <v>261.832348146853</v>
      </c>
      <c r="X88" s="14" t="s">
        <v>1324</v>
      </c>
      <c r="Y88" s="14"/>
      <c r="Z88" s="14" t="s">
        <v>463</v>
      </c>
      <c r="AA88" s="14"/>
      <c r="AB88" s="14"/>
      <c r="AC88" s="14"/>
      <c r="AD88" s="14"/>
      <c r="AE88" s="14"/>
      <c r="AF88" s="14"/>
    </row>
    <row r="89" customFormat="false" ht="15" hidden="false" customHeight="false" outlineLevel="0" collapsed="false">
      <c r="A89" s="1" t="s">
        <v>853</v>
      </c>
      <c r="C89" s="55" t="s">
        <v>134</v>
      </c>
      <c r="D89" s="57" t="n">
        <f aca="false">0.4*$J$12</f>
        <v>4</v>
      </c>
      <c r="E89" s="28" t="n">
        <f aca="false">U442</f>
        <v>39.51</v>
      </c>
      <c r="F89" s="56" t="n">
        <f aca="false">D89*E89</f>
        <v>158.04</v>
      </c>
      <c r="X89" s="14" t="s">
        <v>279</v>
      </c>
      <c r="Y89" s="14" t="s">
        <v>326</v>
      </c>
      <c r="Z89" s="36" t="s">
        <v>281</v>
      </c>
      <c r="AA89" s="52" t="n">
        <v>25</v>
      </c>
      <c r="AB89" s="36" t="s">
        <v>282</v>
      </c>
      <c r="AC89" s="52" t="n">
        <f aca="false">AA89</f>
        <v>25</v>
      </c>
      <c r="AD89" s="14" t="s">
        <v>283</v>
      </c>
      <c r="AF89" s="36" t="s">
        <v>150</v>
      </c>
      <c r="AG89" s="53" t="n">
        <f aca="false">AG95+AG99+AG103</f>
        <v>77.2277048</v>
      </c>
    </row>
    <row r="90" customFormat="false" ht="15" hidden="false" customHeight="false" outlineLevel="0" collapsed="false">
      <c r="A90" s="1" t="s">
        <v>855</v>
      </c>
      <c r="C90" s="55" t="s">
        <v>134</v>
      </c>
      <c r="D90" s="57" t="n">
        <f aca="false">5.6*$J$12</f>
        <v>56</v>
      </c>
      <c r="E90" s="28" t="n">
        <f aca="false">U443</f>
        <v>17.38</v>
      </c>
      <c r="F90" s="56" t="n">
        <f aca="false">D90*E90</f>
        <v>973.28</v>
      </c>
      <c r="X90" s="14" t="s">
        <v>284</v>
      </c>
      <c r="Y90" s="14" t="s">
        <v>285</v>
      </c>
      <c r="AC90" s="36" t="s">
        <v>123</v>
      </c>
      <c r="AD90" s="36" t="s">
        <v>286</v>
      </c>
      <c r="AE90" s="36" t="s">
        <v>287</v>
      </c>
      <c r="AF90" s="36" t="s">
        <v>288</v>
      </c>
      <c r="AG90" s="36" t="s">
        <v>289</v>
      </c>
    </row>
    <row r="91" customFormat="false" ht="15" hidden="false" customHeight="false" outlineLevel="0" collapsed="false">
      <c r="A91" s="15" t="s">
        <v>1353</v>
      </c>
      <c r="Y91" s="54" t="s">
        <v>290</v>
      </c>
    </row>
    <row r="92" customFormat="false" ht="15" hidden="false" customHeight="false" outlineLevel="0" collapsed="false">
      <c r="A92" s="1" t="s">
        <v>1354</v>
      </c>
      <c r="C92" s="1" t="s">
        <v>1017</v>
      </c>
      <c r="D92" s="1" t="n">
        <f aca="false">'Datos iniciales '!E83</f>
        <v>1</v>
      </c>
      <c r="E92" s="28" t="n">
        <f aca="false">V715</f>
        <v>29580.5881071662</v>
      </c>
      <c r="G92" s="169" t="n">
        <f aca="false">D92*E92</f>
        <v>29580.5881071662</v>
      </c>
      <c r="Y92" s="1" t="s">
        <v>651</v>
      </c>
      <c r="AC92" s="55" t="s">
        <v>292</v>
      </c>
      <c r="AD92" s="56" t="n">
        <v>0.1</v>
      </c>
      <c r="AE92" s="57" t="n">
        <f aca="false">AD92*8/$AA$89</f>
        <v>0.032</v>
      </c>
      <c r="AF92" s="28" t="n">
        <v>34.73</v>
      </c>
      <c r="AG92" s="28" t="n">
        <f aca="false">AE92*AF92</f>
        <v>1.11136</v>
      </c>
    </row>
    <row r="93" customFormat="false" ht="15" hidden="false" customHeight="false" outlineLevel="0" collapsed="false">
      <c r="Y93" s="1" t="s">
        <v>664</v>
      </c>
      <c r="AC93" s="55" t="s">
        <v>292</v>
      </c>
      <c r="AD93" s="56" t="n">
        <v>1</v>
      </c>
      <c r="AE93" s="57" t="n">
        <f aca="false">AD93*8/$AA$89</f>
        <v>0.32</v>
      </c>
      <c r="AF93" s="28" t="n">
        <v>30.97</v>
      </c>
      <c r="AG93" s="28" t="n">
        <f aca="false">AE93*AF93</f>
        <v>9.9104</v>
      </c>
    </row>
    <row r="94" customFormat="false" ht="15" hidden="false" customHeight="false" outlineLevel="0" collapsed="false">
      <c r="Y94" s="1" t="s">
        <v>294</v>
      </c>
      <c r="AC94" s="55" t="s">
        <v>292</v>
      </c>
      <c r="AD94" s="56" t="n">
        <v>2</v>
      </c>
      <c r="AE94" s="57" t="n">
        <f aca="false">AD94*8/$AA$89</f>
        <v>0.64</v>
      </c>
      <c r="AF94" s="28" t="n">
        <v>20.51</v>
      </c>
      <c r="AG94" s="28" t="n">
        <f aca="false">AE94*AF94</f>
        <v>13.1264</v>
      </c>
    </row>
    <row r="95" customFormat="false" ht="15" hidden="false" customHeight="false" outlineLevel="0" collapsed="false">
      <c r="AC95" s="55"/>
      <c r="AG95" s="53" t="n">
        <f aca="false">SUM(AG92:AG94)</f>
        <v>24.14816</v>
      </c>
    </row>
    <row r="96" customFormat="false" ht="15" hidden="false" customHeight="false" outlineLevel="0" collapsed="false">
      <c r="Y96" s="54" t="s">
        <v>295</v>
      </c>
      <c r="AC96" s="55"/>
      <c r="AE96" s="57"/>
      <c r="AF96" s="57"/>
    </row>
    <row r="97" customFormat="false" ht="15" hidden="false" customHeight="false" outlineLevel="0" collapsed="false">
      <c r="Y97" s="1" t="s">
        <v>665</v>
      </c>
      <c r="AC97" s="55" t="s">
        <v>204</v>
      </c>
      <c r="AE97" s="57" t="n">
        <v>0.08</v>
      </c>
      <c r="AF97" s="28" t="n">
        <v>6.14</v>
      </c>
      <c r="AG97" s="28" t="n">
        <f aca="false">AE97*AF97</f>
        <v>0.4912</v>
      </c>
    </row>
    <row r="98" customFormat="false" ht="15" hidden="false" customHeight="false" outlineLevel="0" collapsed="false">
      <c r="Y98" s="1" t="s">
        <v>655</v>
      </c>
      <c r="AC98" s="55" t="s">
        <v>204</v>
      </c>
      <c r="AE98" s="57" t="n">
        <v>1.05</v>
      </c>
      <c r="AF98" s="28" t="n">
        <v>44.07</v>
      </c>
      <c r="AG98" s="28" t="n">
        <f aca="false">AE98*AF98</f>
        <v>46.2735</v>
      </c>
    </row>
    <row r="99" customFormat="false" ht="15" hidden="false" customHeight="false" outlineLevel="0" collapsed="false">
      <c r="E99" s="28"/>
      <c r="F99" s="56"/>
      <c r="AC99" s="55"/>
      <c r="AE99" s="57"/>
      <c r="AF99" s="57"/>
      <c r="AG99" s="53" t="n">
        <f aca="false">SUM(AG97:AG98)</f>
        <v>46.7647</v>
      </c>
    </row>
    <row r="100" customFormat="false" ht="15" hidden="false" customHeight="false" outlineLevel="0" collapsed="false">
      <c r="Y100" s="54" t="s">
        <v>318</v>
      </c>
      <c r="AC100" s="55"/>
      <c r="AD100" s="56"/>
    </row>
    <row r="101" customFormat="false" ht="15" hidden="false" customHeight="false" outlineLevel="0" collapsed="false">
      <c r="Y101" s="1" t="s">
        <v>311</v>
      </c>
      <c r="AC101" s="55" t="s">
        <v>312</v>
      </c>
      <c r="AD101" s="56"/>
      <c r="AE101" s="57" t="n">
        <v>3</v>
      </c>
      <c r="AF101" s="28" t="n">
        <f aca="false">AG95</f>
        <v>24.14816</v>
      </c>
      <c r="AG101" s="28" t="n">
        <f aca="false">AE101%*AF101</f>
        <v>0.7244448</v>
      </c>
    </row>
    <row r="102" customFormat="false" ht="15" hidden="false" customHeight="false" outlineLevel="0" collapsed="false">
      <c r="Y102" s="1" t="s">
        <v>657</v>
      </c>
      <c r="AC102" s="55" t="s">
        <v>338</v>
      </c>
      <c r="AD102" s="56" t="n">
        <v>1</v>
      </c>
      <c r="AE102" s="57" t="n">
        <f aca="false">AD102*8/$AA$89</f>
        <v>0.32</v>
      </c>
      <c r="AF102" s="28" t="n">
        <v>17.47</v>
      </c>
      <c r="AG102" s="28" t="n">
        <f aca="false">AE102*AF102</f>
        <v>5.5904</v>
      </c>
    </row>
    <row r="103" customFormat="false" ht="15" hidden="false" customHeight="false" outlineLevel="0" collapsed="false">
      <c r="X103" s="60"/>
      <c r="Y103" s="60"/>
      <c r="Z103" s="60"/>
      <c r="AA103" s="60"/>
      <c r="AB103" s="60"/>
      <c r="AC103" s="60"/>
      <c r="AD103" s="60"/>
      <c r="AE103" s="60"/>
      <c r="AF103" s="60"/>
      <c r="AG103" s="61" t="n">
        <f aca="false">SUM(AG101:AG102)</f>
        <v>6.3148448</v>
      </c>
    </row>
    <row r="104" customFormat="false" ht="15" hidden="false" customHeight="false" outlineLevel="0" collapsed="false">
      <c r="AC104" s="55"/>
      <c r="AD104" s="56"/>
      <c r="AE104" s="57"/>
      <c r="AF104" s="28"/>
      <c r="AG104" s="28"/>
    </row>
    <row r="105" customFormat="false" ht="15" hidden="false" customHeight="false" outlineLevel="0" collapsed="false">
      <c r="X105" s="14" t="s">
        <v>1324</v>
      </c>
      <c r="Y105" s="14"/>
      <c r="Z105" s="14" t="s">
        <v>594</v>
      </c>
      <c r="AA105" s="14"/>
      <c r="AB105" s="14"/>
      <c r="AC105" s="14"/>
      <c r="AD105" s="14"/>
      <c r="AE105" s="14"/>
      <c r="AF105" s="14"/>
    </row>
    <row r="106" customFormat="false" ht="15" hidden="false" customHeight="false" outlineLevel="0" collapsed="false">
      <c r="X106" s="14" t="s">
        <v>279</v>
      </c>
      <c r="Y106" s="14" t="s">
        <v>417</v>
      </c>
      <c r="Z106" s="36" t="s">
        <v>281</v>
      </c>
      <c r="AA106" s="52" t="n">
        <v>30</v>
      </c>
      <c r="AB106" s="36" t="s">
        <v>282</v>
      </c>
      <c r="AC106" s="52" t="n">
        <f aca="false">AA106</f>
        <v>30</v>
      </c>
      <c r="AD106" s="14" t="s">
        <v>283</v>
      </c>
      <c r="AF106" s="36" t="s">
        <v>204</v>
      </c>
      <c r="AG106" s="53" t="n">
        <f aca="false">AG113+AG118+AG122</f>
        <v>445.669224</v>
      </c>
    </row>
    <row r="107" customFormat="false" ht="15" hidden="false" customHeight="false" outlineLevel="0" collapsed="false">
      <c r="X107" s="14" t="s">
        <v>284</v>
      </c>
      <c r="Y107" s="14" t="s">
        <v>285</v>
      </c>
      <c r="AC107" s="36" t="s">
        <v>123</v>
      </c>
      <c r="AD107" s="36" t="s">
        <v>286</v>
      </c>
      <c r="AE107" s="36" t="s">
        <v>287</v>
      </c>
      <c r="AF107" s="36" t="s">
        <v>288</v>
      </c>
      <c r="AG107" s="36" t="s">
        <v>289</v>
      </c>
    </row>
    <row r="108" customFormat="false" ht="15" hidden="false" customHeight="false" outlineLevel="0" collapsed="false">
      <c r="Y108" s="54" t="s">
        <v>290</v>
      </c>
    </row>
    <row r="109" customFormat="false" ht="15" hidden="false" customHeight="false" outlineLevel="0" collapsed="false">
      <c r="Y109" s="1" t="s">
        <v>651</v>
      </c>
      <c r="AC109" s="55" t="s">
        <v>292</v>
      </c>
      <c r="AD109" s="56" t="n">
        <v>0.1</v>
      </c>
      <c r="AE109" s="57" t="n">
        <f aca="false">AD109*8/$AA$106</f>
        <v>0.0266666666666667</v>
      </c>
      <c r="AF109" s="28" t="n">
        <v>34.73</v>
      </c>
      <c r="AG109" s="28" t="n">
        <f aca="false">AE109*AF109</f>
        <v>0.926133333333333</v>
      </c>
    </row>
    <row r="110" customFormat="false" ht="15" hidden="false" customHeight="false" outlineLevel="0" collapsed="false">
      <c r="Y110" s="1" t="s">
        <v>291</v>
      </c>
      <c r="AC110" s="55" t="s">
        <v>292</v>
      </c>
      <c r="AD110" s="56" t="n">
        <v>2</v>
      </c>
      <c r="AE110" s="57" t="n">
        <f aca="false">AD110*8/$AA$106</f>
        <v>0.533333333333333</v>
      </c>
      <c r="AF110" s="28" t="n">
        <v>28.94</v>
      </c>
      <c r="AG110" s="28" t="n">
        <f aca="false">AE110*AF110</f>
        <v>15.4346666666667</v>
      </c>
    </row>
    <row r="111" customFormat="false" ht="15" hidden="false" customHeight="false" outlineLevel="0" collapsed="false">
      <c r="Y111" s="1" t="s">
        <v>293</v>
      </c>
      <c r="AC111" s="55" t="s">
        <v>292</v>
      </c>
      <c r="AD111" s="56" t="n">
        <v>1</v>
      </c>
      <c r="AE111" s="57" t="n">
        <f aca="false">AD111*8/$AA$106</f>
        <v>0.266666666666667</v>
      </c>
      <c r="AF111" s="28" t="n">
        <v>22.66</v>
      </c>
      <c r="AG111" s="28" t="n">
        <f aca="false">AE111*AF111</f>
        <v>6.04266666666667</v>
      </c>
    </row>
    <row r="112" customFormat="false" ht="15" hidden="false" customHeight="false" outlineLevel="0" collapsed="false">
      <c r="Y112" s="1" t="s">
        <v>294</v>
      </c>
      <c r="AC112" s="55" t="s">
        <v>292</v>
      </c>
      <c r="AD112" s="56" t="n">
        <v>4</v>
      </c>
      <c r="AE112" s="57" t="n">
        <f aca="false">AD112*8/$AA$106</f>
        <v>1.06666666666667</v>
      </c>
      <c r="AF112" s="28" t="n">
        <v>20.51</v>
      </c>
      <c r="AG112" s="28" t="n">
        <f aca="false">AE112*AF112</f>
        <v>21.8773333333333</v>
      </c>
    </row>
    <row r="113" customFormat="false" ht="15" hidden="false" customHeight="false" outlineLevel="0" collapsed="false">
      <c r="AG113" s="53" t="n">
        <f aca="false">SUM(AG109:AG112)</f>
        <v>44.2808</v>
      </c>
    </row>
    <row r="114" customFormat="false" ht="15" hidden="false" customHeight="false" outlineLevel="0" collapsed="false">
      <c r="Y114" s="54" t="s">
        <v>295</v>
      </c>
    </row>
    <row r="115" customFormat="false" ht="15" hidden="false" customHeight="false" outlineLevel="0" collapsed="false">
      <c r="Y115" s="1" t="s">
        <v>722</v>
      </c>
      <c r="AB115" s="1" t="s">
        <v>297</v>
      </c>
      <c r="AE115" s="57" t="n">
        <v>0.1</v>
      </c>
      <c r="AF115" s="28" t="n">
        <v>24.52</v>
      </c>
      <c r="AG115" s="28" t="n">
        <f aca="false">AE115*AF115</f>
        <v>2.452</v>
      </c>
    </row>
    <row r="116" customFormat="false" ht="15" hidden="false" customHeight="false" outlineLevel="0" collapsed="false">
      <c r="Y116" s="1" t="s">
        <v>723</v>
      </c>
      <c r="AB116" s="1" t="s">
        <v>297</v>
      </c>
      <c r="AE116" s="57" t="n">
        <v>1.02</v>
      </c>
      <c r="AF116" s="28" t="n">
        <v>358</v>
      </c>
      <c r="AG116" s="28" t="n">
        <f aca="false">AE116*AF116</f>
        <v>365.16</v>
      </c>
    </row>
    <row r="117" customFormat="false" ht="15" hidden="false" customHeight="false" outlineLevel="0" collapsed="false">
      <c r="Y117" s="1" t="s">
        <v>724</v>
      </c>
      <c r="AB117" s="1" t="s">
        <v>306</v>
      </c>
      <c r="AE117" s="57" t="n">
        <v>1.02</v>
      </c>
      <c r="AF117" s="28" t="n">
        <v>30</v>
      </c>
      <c r="AG117" s="28" t="n">
        <f aca="false">AE117*AF117</f>
        <v>30.6</v>
      </c>
    </row>
    <row r="118" customFormat="false" ht="15" hidden="false" customHeight="false" outlineLevel="0" collapsed="false">
      <c r="AG118" s="53" t="n">
        <f aca="false">SUM(AG115:AG117)</f>
        <v>398.212</v>
      </c>
    </row>
    <row r="119" customFormat="false" ht="15" hidden="false" customHeight="false" outlineLevel="0" collapsed="false">
      <c r="Y119" s="54" t="s">
        <v>318</v>
      </c>
    </row>
    <row r="120" customFormat="false" ht="15" hidden="false" customHeight="false" outlineLevel="0" collapsed="false">
      <c r="Y120" s="1" t="s">
        <v>311</v>
      </c>
      <c r="AC120" s="55" t="s">
        <v>312</v>
      </c>
      <c r="AE120" s="57" t="n">
        <v>3</v>
      </c>
      <c r="AF120" s="28" t="n">
        <f aca="false">AG113</f>
        <v>44.2808</v>
      </c>
      <c r="AG120" s="28" t="n">
        <f aca="false">AE120%*AF120</f>
        <v>1.328424</v>
      </c>
    </row>
    <row r="121" customFormat="false" ht="15" hidden="false" customHeight="false" outlineLevel="0" collapsed="false">
      <c r="Y121" s="1" t="s">
        <v>725</v>
      </c>
      <c r="AC121" s="55" t="s">
        <v>338</v>
      </c>
      <c r="AD121" s="56" t="n">
        <v>1</v>
      </c>
      <c r="AE121" s="57" t="n">
        <f aca="false">AD121*8/$AA$106</f>
        <v>0.266666666666667</v>
      </c>
      <c r="AF121" s="28" t="n">
        <v>6.93</v>
      </c>
      <c r="AG121" s="28" t="n">
        <f aca="false">AE121*AF121</f>
        <v>1.848</v>
      </c>
    </row>
    <row r="122" customFormat="false" ht="15" hidden="false" customHeight="false" outlineLevel="0" collapsed="false">
      <c r="X122" s="60"/>
      <c r="Y122" s="60"/>
      <c r="Z122" s="60"/>
      <c r="AA122" s="60"/>
      <c r="AB122" s="60"/>
      <c r="AC122" s="60"/>
      <c r="AD122" s="60"/>
      <c r="AE122" s="60"/>
      <c r="AF122" s="60"/>
      <c r="AG122" s="61" t="n">
        <f aca="false">SUM(AG120:AG121)</f>
        <v>3.176424</v>
      </c>
    </row>
    <row r="124" customFormat="false" ht="15" hidden="false" customHeight="false" outlineLevel="0" collapsed="false">
      <c r="X124" s="14" t="s">
        <v>1324</v>
      </c>
      <c r="Y124" s="14"/>
      <c r="Z124" s="14" t="s">
        <v>596</v>
      </c>
      <c r="AA124" s="14"/>
      <c r="AB124" s="14"/>
      <c r="AC124" s="14"/>
      <c r="AD124" s="14"/>
      <c r="AE124" s="14"/>
      <c r="AF124" s="14"/>
    </row>
    <row r="125" customFormat="false" ht="15" hidden="false" customHeight="false" outlineLevel="0" collapsed="false">
      <c r="X125" s="14" t="s">
        <v>279</v>
      </c>
      <c r="Y125" s="14" t="s">
        <v>417</v>
      </c>
      <c r="Z125" s="36" t="s">
        <v>281</v>
      </c>
      <c r="AA125" s="52" t="n">
        <v>30</v>
      </c>
      <c r="AB125" s="36" t="s">
        <v>282</v>
      </c>
      <c r="AC125" s="52" t="n">
        <f aca="false">AA125</f>
        <v>30</v>
      </c>
      <c r="AD125" s="14" t="s">
        <v>283</v>
      </c>
      <c r="AF125" s="36" t="s">
        <v>204</v>
      </c>
      <c r="AG125" s="53" t="n">
        <f aca="false">AG132+AG137+AG141</f>
        <v>445.669224</v>
      </c>
    </row>
    <row r="126" customFormat="false" ht="15" hidden="false" customHeight="false" outlineLevel="0" collapsed="false">
      <c r="X126" s="14" t="s">
        <v>284</v>
      </c>
      <c r="Y126" s="14" t="s">
        <v>285</v>
      </c>
      <c r="AC126" s="36" t="s">
        <v>123</v>
      </c>
      <c r="AD126" s="36" t="s">
        <v>286</v>
      </c>
      <c r="AE126" s="36" t="s">
        <v>287</v>
      </c>
      <c r="AF126" s="36" t="s">
        <v>288</v>
      </c>
      <c r="AG126" s="36" t="s">
        <v>289</v>
      </c>
    </row>
    <row r="127" customFormat="false" ht="15" hidden="false" customHeight="false" outlineLevel="0" collapsed="false">
      <c r="Y127" s="54" t="s">
        <v>290</v>
      </c>
    </row>
    <row r="128" customFormat="false" ht="15" hidden="false" customHeight="false" outlineLevel="0" collapsed="false">
      <c r="Y128" s="1" t="s">
        <v>651</v>
      </c>
      <c r="AC128" s="55" t="s">
        <v>292</v>
      </c>
      <c r="AD128" s="56" t="n">
        <v>0.1</v>
      </c>
      <c r="AE128" s="57" t="n">
        <f aca="false">AD128*8/$AA$125</f>
        <v>0.0266666666666667</v>
      </c>
      <c r="AF128" s="28" t="n">
        <v>34.73</v>
      </c>
      <c r="AG128" s="28" t="n">
        <f aca="false">AE128*AF128</f>
        <v>0.926133333333333</v>
      </c>
    </row>
    <row r="129" customFormat="false" ht="15" hidden="false" customHeight="false" outlineLevel="0" collapsed="false">
      <c r="Y129" s="1" t="s">
        <v>291</v>
      </c>
      <c r="AC129" s="55" t="s">
        <v>292</v>
      </c>
      <c r="AD129" s="56" t="n">
        <v>2</v>
      </c>
      <c r="AE129" s="57" t="n">
        <f aca="false">AD129*8/$AA$125</f>
        <v>0.533333333333333</v>
      </c>
      <c r="AF129" s="28" t="n">
        <v>28.94</v>
      </c>
      <c r="AG129" s="28" t="n">
        <f aca="false">AE129*AF129</f>
        <v>15.4346666666667</v>
      </c>
    </row>
    <row r="130" customFormat="false" ht="15" hidden="false" customHeight="false" outlineLevel="0" collapsed="false">
      <c r="Y130" s="1" t="s">
        <v>293</v>
      </c>
      <c r="AC130" s="55" t="s">
        <v>292</v>
      </c>
      <c r="AD130" s="56" t="n">
        <v>1</v>
      </c>
      <c r="AE130" s="57" t="n">
        <f aca="false">AD130*8/$AA$125</f>
        <v>0.266666666666667</v>
      </c>
      <c r="AF130" s="28" t="n">
        <v>22.66</v>
      </c>
      <c r="AG130" s="28" t="n">
        <f aca="false">AE130*AF130</f>
        <v>6.04266666666667</v>
      </c>
    </row>
    <row r="131" customFormat="false" ht="15" hidden="false" customHeight="false" outlineLevel="0" collapsed="false">
      <c r="Y131" s="1" t="s">
        <v>294</v>
      </c>
      <c r="AC131" s="55" t="s">
        <v>292</v>
      </c>
      <c r="AD131" s="56" t="n">
        <v>4</v>
      </c>
      <c r="AE131" s="57" t="n">
        <f aca="false">AD131*8/$AA$125</f>
        <v>1.06666666666667</v>
      </c>
      <c r="AF131" s="28" t="n">
        <v>20.51</v>
      </c>
      <c r="AG131" s="28" t="n">
        <f aca="false">AE131*AF131</f>
        <v>21.8773333333333</v>
      </c>
    </row>
    <row r="132" customFormat="false" ht="15" hidden="false" customHeight="false" outlineLevel="0" collapsed="false">
      <c r="AG132" s="53" t="n">
        <f aca="false">SUM(AG128:AG131)</f>
        <v>44.2808</v>
      </c>
    </row>
    <row r="133" customFormat="false" ht="15" hidden="false" customHeight="false" outlineLevel="0" collapsed="false">
      <c r="Y133" s="54" t="s">
        <v>295</v>
      </c>
    </row>
    <row r="134" customFormat="false" ht="15" hidden="false" customHeight="false" outlineLevel="0" collapsed="false">
      <c r="Y134" s="1" t="s">
        <v>722</v>
      </c>
      <c r="AB134" s="1" t="s">
        <v>297</v>
      </c>
      <c r="AE134" s="57" t="n">
        <v>0.1</v>
      </c>
      <c r="AF134" s="28" t="n">
        <v>24.52</v>
      </c>
      <c r="AG134" s="28" t="n">
        <f aca="false">AE134*AF134</f>
        <v>2.452</v>
      </c>
    </row>
    <row r="135" customFormat="false" ht="15" hidden="false" customHeight="false" outlineLevel="0" collapsed="false">
      <c r="Y135" s="1" t="s">
        <v>723</v>
      </c>
      <c r="AB135" s="1" t="s">
        <v>297</v>
      </c>
      <c r="AE135" s="57" t="n">
        <v>1.02</v>
      </c>
      <c r="AF135" s="1" t="n">
        <v>358</v>
      </c>
      <c r="AG135" s="28" t="n">
        <f aca="false">AE135*AF135</f>
        <v>365.16</v>
      </c>
    </row>
    <row r="136" customFormat="false" ht="15" hidden="false" customHeight="false" outlineLevel="0" collapsed="false">
      <c r="Y136" s="1" t="s">
        <v>724</v>
      </c>
      <c r="AB136" s="1" t="s">
        <v>306</v>
      </c>
      <c r="AE136" s="57" t="n">
        <v>1.02</v>
      </c>
      <c r="AF136" s="28" t="n">
        <v>30</v>
      </c>
      <c r="AG136" s="28" t="n">
        <f aca="false">AE136*AF136</f>
        <v>30.6</v>
      </c>
    </row>
    <row r="137" customFormat="false" ht="15" hidden="false" customHeight="false" outlineLevel="0" collapsed="false">
      <c r="AG137" s="53" t="n">
        <f aca="false">SUM(AG134:AG136)</f>
        <v>398.212</v>
      </c>
    </row>
    <row r="138" customFormat="false" ht="15" hidden="false" customHeight="false" outlineLevel="0" collapsed="false">
      <c r="Y138" s="54" t="s">
        <v>318</v>
      </c>
    </row>
    <row r="139" customFormat="false" ht="15" hidden="false" customHeight="false" outlineLevel="0" collapsed="false">
      <c r="Y139" s="1" t="s">
        <v>311</v>
      </c>
      <c r="AC139" s="55" t="s">
        <v>312</v>
      </c>
      <c r="AE139" s="57" t="n">
        <v>3</v>
      </c>
      <c r="AF139" s="28" t="n">
        <f aca="false">AG132</f>
        <v>44.2808</v>
      </c>
      <c r="AG139" s="28" t="n">
        <f aca="false">AE139%*AF139</f>
        <v>1.328424</v>
      </c>
    </row>
    <row r="140" customFormat="false" ht="15" hidden="false" customHeight="false" outlineLevel="0" collapsed="false">
      <c r="Y140" s="1" t="s">
        <v>725</v>
      </c>
      <c r="AC140" s="55" t="s">
        <v>338</v>
      </c>
      <c r="AD140" s="56" t="n">
        <v>1</v>
      </c>
      <c r="AE140" s="57" t="n">
        <f aca="false">AD140*8/$AA$125</f>
        <v>0.266666666666667</v>
      </c>
      <c r="AF140" s="28" t="n">
        <v>6.93</v>
      </c>
      <c r="AG140" s="28" t="n">
        <f aca="false">AE140*AF140</f>
        <v>1.848</v>
      </c>
    </row>
    <row r="141" customFormat="false" ht="15" hidden="false" customHeight="false" outlineLevel="0" collapsed="false">
      <c r="X141" s="60"/>
      <c r="Y141" s="60"/>
      <c r="Z141" s="60"/>
      <c r="AA141" s="60"/>
      <c r="AB141" s="60"/>
      <c r="AC141" s="60"/>
      <c r="AD141" s="60"/>
      <c r="AE141" s="60"/>
      <c r="AF141" s="60"/>
      <c r="AG141" s="61" t="n">
        <f aca="false">SUM(AG139:AG140)</f>
        <v>3.176424</v>
      </c>
    </row>
    <row r="143" customFormat="false" ht="15" hidden="false" customHeight="false" outlineLevel="0" collapsed="false">
      <c r="X143" s="14" t="s">
        <v>1324</v>
      </c>
      <c r="Y143" s="14"/>
      <c r="Z143" s="14" t="s">
        <v>598</v>
      </c>
      <c r="AA143" s="14"/>
      <c r="AB143" s="14"/>
      <c r="AC143" s="14"/>
      <c r="AD143" s="14"/>
      <c r="AE143" s="14"/>
      <c r="AF143" s="14"/>
      <c r="AI143" s="188"/>
      <c r="AJ143" s="189"/>
      <c r="AK143" s="189"/>
      <c r="AL143" s="190"/>
      <c r="AM143" s="189"/>
      <c r="AN143" s="189"/>
      <c r="AO143" s="189"/>
      <c r="AP143" s="189"/>
      <c r="AQ143" s="189"/>
      <c r="AR143" s="191"/>
      <c r="AS143" s="189"/>
    </row>
    <row r="144" customFormat="false" ht="15" hidden="false" customHeight="false" outlineLevel="0" collapsed="false">
      <c r="X144" s="14" t="s">
        <v>279</v>
      </c>
      <c r="Y144" s="14" t="s">
        <v>280</v>
      </c>
      <c r="Z144" s="36" t="s">
        <v>281</v>
      </c>
      <c r="AA144" s="52" t="n">
        <v>25</v>
      </c>
      <c r="AB144" s="36" t="s">
        <v>282</v>
      </c>
      <c r="AC144" s="52" t="n">
        <f aca="false">AA144</f>
        <v>25</v>
      </c>
      <c r="AD144" s="14" t="s">
        <v>283</v>
      </c>
      <c r="AF144" s="36" t="s">
        <v>134</v>
      </c>
      <c r="AG144" s="53" t="n">
        <f aca="false">AG151+AG156+AG160</f>
        <v>118.0135648</v>
      </c>
      <c r="AI144" s="192"/>
      <c r="AJ144" s="189"/>
      <c r="AK144" s="190"/>
      <c r="AL144" s="189"/>
      <c r="AM144" s="193"/>
      <c r="AN144" s="193"/>
      <c r="AO144" s="189"/>
      <c r="AP144" s="189"/>
      <c r="AQ144" s="193"/>
      <c r="AR144" s="194"/>
      <c r="AS144" s="189"/>
    </row>
    <row r="145" customFormat="false" ht="15" hidden="false" customHeight="false" outlineLevel="0" collapsed="false">
      <c r="X145" s="14" t="s">
        <v>284</v>
      </c>
      <c r="Y145" s="14" t="s">
        <v>285</v>
      </c>
      <c r="AC145" s="36" t="s">
        <v>123</v>
      </c>
      <c r="AD145" s="36" t="s">
        <v>286</v>
      </c>
      <c r="AE145" s="36" t="s">
        <v>287</v>
      </c>
      <c r="AF145" s="36" t="s">
        <v>288</v>
      </c>
      <c r="AG145" s="36" t="s">
        <v>289</v>
      </c>
      <c r="AI145" s="189"/>
      <c r="AJ145" s="189"/>
      <c r="AK145" s="189"/>
      <c r="AL145" s="189"/>
      <c r="AM145" s="189"/>
      <c r="AN145" s="189"/>
      <c r="AO145" s="189"/>
      <c r="AP145" s="189"/>
      <c r="AQ145" s="189"/>
      <c r="AR145" s="191"/>
      <c r="AS145" s="189"/>
    </row>
    <row r="146" customFormat="false" ht="15" hidden="false" customHeight="false" outlineLevel="0" collapsed="false">
      <c r="Y146" s="54" t="s">
        <v>290</v>
      </c>
      <c r="AI146" s="189"/>
      <c r="AJ146" s="189"/>
      <c r="AK146" s="189"/>
      <c r="AL146" s="189"/>
      <c r="AM146" s="189"/>
      <c r="AN146" s="189"/>
      <c r="AO146" s="189"/>
      <c r="AP146" s="189"/>
      <c r="AQ146" s="189"/>
      <c r="AR146" s="191"/>
      <c r="AS146" s="189"/>
    </row>
    <row r="147" customFormat="false" ht="15" hidden="false" customHeight="false" outlineLevel="0" collapsed="false">
      <c r="Y147" s="1" t="s">
        <v>651</v>
      </c>
      <c r="AC147" s="55" t="s">
        <v>292</v>
      </c>
      <c r="AD147" s="56" t="n">
        <v>0.1</v>
      </c>
      <c r="AE147" s="57" t="n">
        <f aca="false">AD147*8/$AA$144</f>
        <v>0.032</v>
      </c>
      <c r="AF147" s="28" t="n">
        <v>34.73</v>
      </c>
      <c r="AG147" s="28" t="n">
        <f aca="false">AE147*AF147</f>
        <v>1.11136</v>
      </c>
      <c r="AI147" s="195"/>
      <c r="AJ147" s="189"/>
      <c r="AK147" s="190"/>
      <c r="AL147" s="189"/>
      <c r="AM147" s="189"/>
      <c r="AN147" s="195"/>
      <c r="AO147" s="189"/>
      <c r="AP147" s="196"/>
      <c r="AQ147" s="196"/>
      <c r="AR147" s="191"/>
      <c r="AS147" s="196"/>
    </row>
    <row r="148" customFormat="false" ht="15" hidden="false" customHeight="false" outlineLevel="0" collapsed="false">
      <c r="Y148" s="1" t="s">
        <v>291</v>
      </c>
      <c r="AC148" s="55" t="s">
        <v>292</v>
      </c>
      <c r="AD148" s="56" t="n">
        <v>1</v>
      </c>
      <c r="AE148" s="57" t="n">
        <f aca="false">AD148*8/$AA$144</f>
        <v>0.32</v>
      </c>
      <c r="AF148" s="28" t="n">
        <v>28.94</v>
      </c>
      <c r="AG148" s="28" t="n">
        <f aca="false">AE148*AF148</f>
        <v>9.2608</v>
      </c>
      <c r="AI148" s="189"/>
      <c r="AJ148" s="189"/>
      <c r="AK148" s="189"/>
      <c r="AL148" s="189"/>
      <c r="AM148" s="197"/>
      <c r="AN148" s="189"/>
      <c r="AO148" s="189"/>
      <c r="AP148" s="189"/>
      <c r="AQ148" s="189"/>
      <c r="AR148" s="191"/>
      <c r="AS148" s="189"/>
    </row>
    <row r="149" customFormat="false" ht="15" hidden="false" customHeight="false" outlineLevel="0" collapsed="false">
      <c r="Y149" s="1" t="s">
        <v>293</v>
      </c>
      <c r="AC149" s="55" t="s">
        <v>292</v>
      </c>
      <c r="AD149" s="56" t="n">
        <v>2</v>
      </c>
      <c r="AE149" s="57" t="n">
        <f aca="false">AD149*8/$AA$144</f>
        <v>0.64</v>
      </c>
      <c r="AF149" s="28" t="n">
        <v>22.66</v>
      </c>
      <c r="AG149" s="28" t="n">
        <f aca="false">AE149*AF149</f>
        <v>14.5024</v>
      </c>
      <c r="AI149" s="192"/>
      <c r="AJ149" s="189"/>
      <c r="AK149" s="192"/>
      <c r="AL149" s="189"/>
      <c r="AM149" s="189"/>
      <c r="AN149" s="192"/>
      <c r="AO149" s="189"/>
      <c r="AP149" s="198"/>
      <c r="AQ149" s="198"/>
      <c r="AR149" s="191"/>
      <c r="AS149" s="191"/>
    </row>
    <row r="150" customFormat="false" ht="15" hidden="false" customHeight="false" outlineLevel="0" collapsed="false">
      <c r="Y150" s="1" t="s">
        <v>294</v>
      </c>
      <c r="AC150" s="55" t="s">
        <v>292</v>
      </c>
      <c r="AD150" s="56" t="n">
        <v>8</v>
      </c>
      <c r="AE150" s="57" t="n">
        <f aca="false">AD150*8/$AA$144</f>
        <v>2.56</v>
      </c>
      <c r="AF150" s="28" t="n">
        <v>20.51</v>
      </c>
      <c r="AG150" s="28" t="n">
        <f aca="false">AE150*AF150</f>
        <v>52.5056</v>
      </c>
      <c r="AI150" s="192"/>
      <c r="AJ150" s="189"/>
      <c r="AK150" s="192"/>
      <c r="AL150" s="189"/>
      <c r="AM150" s="189"/>
      <c r="AN150" s="192"/>
      <c r="AO150" s="189"/>
      <c r="AP150" s="198"/>
      <c r="AQ150" s="198"/>
      <c r="AR150" s="191"/>
      <c r="AS150" s="191"/>
    </row>
    <row r="151" customFormat="false" ht="15" hidden="false" customHeight="false" outlineLevel="0" collapsed="false">
      <c r="AG151" s="53" t="n">
        <f aca="false">SUM(AG147:AG150)</f>
        <v>77.38016</v>
      </c>
      <c r="AI151" s="192"/>
      <c r="AJ151" s="189"/>
      <c r="AK151" s="192"/>
      <c r="AL151" s="189"/>
      <c r="AM151" s="189"/>
      <c r="AN151" s="192"/>
      <c r="AO151" s="189"/>
      <c r="AP151" s="198"/>
      <c r="AQ151" s="198"/>
      <c r="AR151" s="191"/>
      <c r="AS151" s="191"/>
    </row>
    <row r="152" customFormat="false" ht="15" hidden="false" customHeight="false" outlineLevel="0" collapsed="false">
      <c r="Y152" s="54" t="s">
        <v>295</v>
      </c>
      <c r="AI152" s="189"/>
      <c r="AJ152" s="189"/>
      <c r="AK152" s="189"/>
      <c r="AL152" s="189"/>
      <c r="AM152" s="189"/>
      <c r="AN152" s="189"/>
      <c r="AO152" s="189"/>
      <c r="AP152" s="189"/>
      <c r="AQ152" s="189"/>
      <c r="AR152" s="191"/>
      <c r="AS152" s="194"/>
    </row>
    <row r="153" customFormat="false" ht="15" hidden="false" customHeight="false" outlineLevel="0" collapsed="false">
      <c r="Y153" s="1" t="s">
        <v>726</v>
      </c>
      <c r="AB153" s="1" t="s">
        <v>297</v>
      </c>
      <c r="AE153" s="57" t="n">
        <v>0.1</v>
      </c>
      <c r="AF153" s="28" t="n">
        <v>4.64</v>
      </c>
      <c r="AG153" s="28" t="n">
        <f aca="false">AE153*AF153</f>
        <v>0.464</v>
      </c>
      <c r="AI153" s="189"/>
      <c r="AJ153" s="189"/>
      <c r="AK153" s="189"/>
      <c r="AL153" s="189"/>
      <c r="AM153" s="197"/>
      <c r="AN153" s="189"/>
      <c r="AO153" s="189"/>
      <c r="AP153" s="189"/>
      <c r="AQ153" s="189"/>
      <c r="AR153" s="191"/>
      <c r="AS153" s="189"/>
    </row>
    <row r="154" customFormat="false" ht="15" hidden="false" customHeight="false" outlineLevel="0" collapsed="false">
      <c r="Y154" s="1" t="s">
        <v>727</v>
      </c>
      <c r="AB154" s="1" t="s">
        <v>297</v>
      </c>
      <c r="AE154" s="57" t="n">
        <v>0.15</v>
      </c>
      <c r="AF154" s="1" t="n">
        <v>4.16</v>
      </c>
      <c r="AG154" s="28" t="n">
        <f aca="false">AE154*AF154</f>
        <v>0.624</v>
      </c>
      <c r="AI154" s="192"/>
      <c r="AJ154" s="189"/>
      <c r="AK154" s="192"/>
      <c r="AL154" s="189"/>
      <c r="AM154" s="189"/>
      <c r="AN154" s="192"/>
      <c r="AO154" s="189"/>
      <c r="AP154" s="189"/>
      <c r="AQ154" s="198"/>
      <c r="AR154" s="191"/>
      <c r="AS154" s="191"/>
    </row>
    <row r="155" customFormat="false" ht="15" hidden="false" customHeight="false" outlineLevel="0" collapsed="false">
      <c r="Y155" s="1" t="s">
        <v>309</v>
      </c>
      <c r="AB155" s="1" t="s">
        <v>306</v>
      </c>
      <c r="AE155" s="57" t="n">
        <v>4.03</v>
      </c>
      <c r="AF155" s="28" t="n">
        <v>8.8</v>
      </c>
      <c r="AG155" s="28" t="n">
        <f aca="false">AE155*AF155</f>
        <v>35.464</v>
      </c>
      <c r="AI155" s="192"/>
      <c r="AJ155" s="189"/>
      <c r="AK155" s="192"/>
      <c r="AL155" s="189"/>
      <c r="AM155" s="189"/>
      <c r="AN155" s="192"/>
      <c r="AO155" s="189"/>
      <c r="AP155" s="189"/>
      <c r="AQ155" s="198"/>
      <c r="AR155" s="191"/>
      <c r="AS155" s="191"/>
    </row>
    <row r="156" customFormat="false" ht="15" hidden="false" customHeight="false" outlineLevel="0" collapsed="false">
      <c r="AG156" s="53" t="n">
        <f aca="false">SUM(AG153:AG155)</f>
        <v>36.552</v>
      </c>
      <c r="AI156" s="189"/>
      <c r="AJ156" s="189"/>
      <c r="AK156" s="189"/>
      <c r="AL156" s="189"/>
      <c r="AM156" s="189"/>
      <c r="AN156" s="189"/>
      <c r="AO156" s="189"/>
      <c r="AP156" s="189"/>
      <c r="AQ156" s="189"/>
      <c r="AR156" s="191"/>
      <c r="AS156" s="194"/>
    </row>
    <row r="157" customFormat="false" ht="15" hidden="false" customHeight="false" outlineLevel="0" collapsed="false">
      <c r="Y157" s="54" t="s">
        <v>318</v>
      </c>
      <c r="AI157" s="189"/>
      <c r="AJ157" s="189"/>
      <c r="AK157" s="189"/>
      <c r="AL157" s="189"/>
      <c r="AM157" s="197"/>
      <c r="AN157" s="189"/>
      <c r="AO157" s="189"/>
      <c r="AP157" s="189"/>
      <c r="AQ157" s="189"/>
      <c r="AR157" s="191"/>
      <c r="AS157" s="189"/>
    </row>
    <row r="158" customFormat="false" ht="15" hidden="false" customHeight="false" outlineLevel="0" collapsed="false">
      <c r="Y158" s="1" t="s">
        <v>311</v>
      </c>
      <c r="AC158" s="55" t="s">
        <v>312</v>
      </c>
      <c r="AE158" s="57" t="n">
        <v>3</v>
      </c>
      <c r="AF158" s="28" t="n">
        <f aca="false">AG151</f>
        <v>77.38016</v>
      </c>
      <c r="AG158" s="28" t="n">
        <f aca="false">AE158%*AF158</f>
        <v>2.3214048</v>
      </c>
      <c r="AS158" s="191"/>
    </row>
    <row r="159" customFormat="false" ht="15" hidden="false" customHeight="false" outlineLevel="0" collapsed="false">
      <c r="Y159" s="1" t="s">
        <v>728</v>
      </c>
      <c r="AC159" s="55" t="s">
        <v>338</v>
      </c>
      <c r="AD159" s="56" t="n">
        <v>1</v>
      </c>
      <c r="AE159" s="57" t="n">
        <f aca="false">AD159*8/$AA$144</f>
        <v>0.32</v>
      </c>
      <c r="AF159" s="28" t="n">
        <v>5.5</v>
      </c>
      <c r="AG159" s="28" t="n">
        <f aca="false">AE159*AF159</f>
        <v>1.76</v>
      </c>
      <c r="AS159" s="191"/>
    </row>
    <row r="160" customFormat="false" ht="15" hidden="false" customHeight="false" outlineLevel="0" collapsed="false">
      <c r="X160" s="60"/>
      <c r="Y160" s="60"/>
      <c r="Z160" s="60"/>
      <c r="AA160" s="60"/>
      <c r="AB160" s="60"/>
      <c r="AC160" s="60"/>
      <c r="AD160" s="60"/>
      <c r="AE160" s="60"/>
      <c r="AF160" s="60"/>
      <c r="AG160" s="61" t="n">
        <f aca="false">SUM(AG158:AG159)</f>
        <v>4.0814048</v>
      </c>
      <c r="AS160" s="194"/>
    </row>
    <row r="162" customFormat="false" ht="15" hidden="false" customHeight="false" outlineLevel="0" collapsed="false">
      <c r="X162" s="14" t="s">
        <v>278</v>
      </c>
      <c r="Y162" s="14"/>
      <c r="Z162" s="14" t="s">
        <v>600</v>
      </c>
      <c r="AA162" s="14"/>
    </row>
    <row r="163" customFormat="false" ht="15" hidden="false" customHeight="false" outlineLevel="0" collapsed="false">
      <c r="X163" s="14" t="s">
        <v>279</v>
      </c>
      <c r="Y163" s="14" t="s">
        <v>417</v>
      </c>
      <c r="Z163" s="36" t="s">
        <v>281</v>
      </c>
      <c r="AA163" s="52" t="n">
        <v>1</v>
      </c>
      <c r="AB163" s="36" t="s">
        <v>282</v>
      </c>
      <c r="AC163" s="52" t="n">
        <f aca="false">AA163</f>
        <v>1</v>
      </c>
      <c r="AD163" s="14" t="s">
        <v>283</v>
      </c>
      <c r="AF163" s="36" t="s">
        <v>204</v>
      </c>
      <c r="AG163" s="53" t="n">
        <f aca="false">AG167</f>
        <v>358</v>
      </c>
    </row>
    <row r="164" customFormat="false" ht="15" hidden="false" customHeight="false" outlineLevel="0" collapsed="false">
      <c r="X164" s="14" t="s">
        <v>284</v>
      </c>
      <c r="Y164" s="14" t="s">
        <v>285</v>
      </c>
      <c r="AC164" s="36" t="s">
        <v>123</v>
      </c>
      <c r="AD164" s="36" t="s">
        <v>286</v>
      </c>
      <c r="AE164" s="36" t="s">
        <v>287</v>
      </c>
      <c r="AF164" s="36" t="s">
        <v>288</v>
      </c>
      <c r="AG164" s="36" t="s">
        <v>289</v>
      </c>
    </row>
    <row r="165" customFormat="false" ht="15" hidden="false" customHeight="false" outlineLevel="0" collapsed="false">
      <c r="Y165" s="54" t="s">
        <v>290</v>
      </c>
    </row>
    <row r="166" customFormat="false" ht="15" hidden="false" customHeight="false" outlineLevel="0" collapsed="false">
      <c r="Y166" s="1" t="s">
        <v>600</v>
      </c>
      <c r="AE166" s="57" t="n">
        <v>1</v>
      </c>
      <c r="AF166" s="28" t="n">
        <v>358</v>
      </c>
      <c r="AG166" s="28" t="n">
        <f aca="false">AE166*AF166</f>
        <v>358</v>
      </c>
    </row>
    <row r="167" customFormat="false" ht="15" hidden="false" customHeight="false" outlineLevel="0" collapsed="false">
      <c r="X167" s="60"/>
      <c r="Y167" s="60"/>
      <c r="Z167" s="60"/>
      <c r="AA167" s="60"/>
      <c r="AB167" s="60"/>
      <c r="AC167" s="62"/>
      <c r="AD167" s="60"/>
      <c r="AE167" s="64"/>
      <c r="AF167" s="65"/>
      <c r="AG167" s="61" t="n">
        <f aca="false">SUM(AG166)</f>
        <v>358</v>
      </c>
    </row>
    <row r="169" customFormat="false" ht="15" hidden="false" customHeight="false" outlineLevel="0" collapsed="false">
      <c r="X169" s="14" t="s">
        <v>1324</v>
      </c>
      <c r="Y169" s="14"/>
      <c r="Z169" s="14" t="s">
        <v>1341</v>
      </c>
      <c r="AA169" s="14"/>
      <c r="AB169" s="14"/>
      <c r="AC169" s="14"/>
      <c r="AD169" s="14"/>
      <c r="AE169" s="14"/>
      <c r="AF169" s="14"/>
    </row>
    <row r="170" customFormat="false" ht="15" hidden="false" customHeight="false" outlineLevel="0" collapsed="false">
      <c r="X170" s="14" t="s">
        <v>279</v>
      </c>
      <c r="Y170" s="14" t="s">
        <v>280</v>
      </c>
      <c r="Z170" s="36" t="s">
        <v>281</v>
      </c>
      <c r="AA170" s="52" t="n">
        <v>250</v>
      </c>
      <c r="AB170" s="36" t="s">
        <v>282</v>
      </c>
      <c r="AC170" s="52" t="n">
        <f aca="false">AA170</f>
        <v>250</v>
      </c>
      <c r="AD170" s="14" t="s">
        <v>283</v>
      </c>
      <c r="AF170" s="36" t="s">
        <v>134</v>
      </c>
      <c r="AG170" s="53" t="n">
        <f aca="false">AG174+AG177+AG180</f>
        <v>2.9418736</v>
      </c>
    </row>
    <row r="171" customFormat="false" ht="15" hidden="false" customHeight="false" outlineLevel="0" collapsed="false">
      <c r="X171" s="14" t="s">
        <v>284</v>
      </c>
      <c r="Y171" s="14" t="s">
        <v>285</v>
      </c>
      <c r="AC171" s="36" t="s">
        <v>123</v>
      </c>
      <c r="AD171" s="36" t="s">
        <v>286</v>
      </c>
      <c r="AE171" s="36" t="s">
        <v>287</v>
      </c>
      <c r="AF171" s="36" t="s">
        <v>288</v>
      </c>
      <c r="AG171" s="36" t="s">
        <v>289</v>
      </c>
    </row>
    <row r="172" customFormat="false" ht="15" hidden="false" customHeight="false" outlineLevel="0" collapsed="false">
      <c r="Y172" s="54" t="s">
        <v>290</v>
      </c>
    </row>
    <row r="173" customFormat="false" ht="15" hidden="false" customHeight="false" outlineLevel="0" collapsed="false">
      <c r="Y173" s="1" t="s">
        <v>293</v>
      </c>
      <c r="AC173" s="55" t="s">
        <v>292</v>
      </c>
      <c r="AD173" s="56" t="n">
        <v>1</v>
      </c>
      <c r="AE173" s="57" t="n">
        <f aca="false">AD173*8/$AA$170</f>
        <v>0.032</v>
      </c>
      <c r="AF173" s="28" t="n">
        <v>22.66</v>
      </c>
      <c r="AG173" s="28" t="n">
        <f aca="false">AE173*AF173</f>
        <v>0.72512</v>
      </c>
    </row>
    <row r="174" customFormat="false" ht="15" hidden="false" customHeight="false" outlineLevel="0" collapsed="false">
      <c r="AC174" s="55"/>
      <c r="AD174" s="56"/>
      <c r="AE174" s="57"/>
      <c r="AF174" s="28"/>
      <c r="AG174" s="53" t="n">
        <f aca="false">SUM(AG173:AG173)</f>
        <v>0.72512</v>
      </c>
    </row>
    <row r="175" customFormat="false" ht="15" hidden="false" customHeight="false" outlineLevel="0" collapsed="false">
      <c r="Y175" s="54" t="s">
        <v>295</v>
      </c>
    </row>
    <row r="176" customFormat="false" ht="15" hidden="false" customHeight="false" outlineLevel="0" collapsed="false">
      <c r="Y176" s="1" t="s">
        <v>729</v>
      </c>
      <c r="AC176" s="55" t="s">
        <v>440</v>
      </c>
      <c r="AE176" s="57" t="n">
        <v>0.05</v>
      </c>
      <c r="AF176" s="28" t="n">
        <v>43.9</v>
      </c>
      <c r="AG176" s="28" t="n">
        <f aca="false">AE176*AF176</f>
        <v>2.195</v>
      </c>
    </row>
    <row r="177" customFormat="false" ht="15" hidden="false" customHeight="false" outlineLevel="0" collapsed="false">
      <c r="AG177" s="53" t="n">
        <f aca="false">SUM(AG176)</f>
        <v>2.195</v>
      </c>
    </row>
    <row r="178" customFormat="false" ht="15" hidden="false" customHeight="false" outlineLevel="0" collapsed="false">
      <c r="Y178" s="54" t="s">
        <v>318</v>
      </c>
    </row>
    <row r="179" customFormat="false" ht="15" hidden="false" customHeight="false" outlineLevel="0" collapsed="false">
      <c r="Y179" s="1" t="s">
        <v>311</v>
      </c>
      <c r="AC179" s="55" t="s">
        <v>312</v>
      </c>
      <c r="AE179" s="57" t="n">
        <v>3</v>
      </c>
      <c r="AF179" s="28" t="n">
        <f aca="false">AG174</f>
        <v>0.72512</v>
      </c>
      <c r="AG179" s="28" t="n">
        <f aca="false">AE179%*AF179</f>
        <v>0.0217536</v>
      </c>
    </row>
    <row r="180" customFormat="false" ht="15" hidden="false" customHeight="false" outlineLevel="0" collapsed="false">
      <c r="X180" s="60"/>
      <c r="Y180" s="60"/>
      <c r="Z180" s="60"/>
      <c r="AA180" s="60"/>
      <c r="AB180" s="60"/>
      <c r="AC180" s="60"/>
      <c r="AD180" s="60"/>
      <c r="AE180" s="60"/>
      <c r="AF180" s="60"/>
      <c r="AG180" s="61" t="n">
        <f aca="false">SUM(AG179)</f>
        <v>0.0217536</v>
      </c>
    </row>
    <row r="181" customFormat="false" ht="15" hidden="false" customHeight="false" outlineLevel="0" collapsed="false">
      <c r="AE181" s="57"/>
      <c r="AF181" s="28"/>
      <c r="AG181" s="28"/>
    </row>
    <row r="182" customFormat="false" ht="15" hidden="false" customHeight="false" outlineLevel="0" collapsed="false">
      <c r="X182" s="14" t="s">
        <v>1324</v>
      </c>
      <c r="Y182" s="14"/>
      <c r="Z182" s="14" t="s">
        <v>604</v>
      </c>
      <c r="AA182" s="14"/>
      <c r="AB182" s="14"/>
      <c r="AC182" s="14"/>
      <c r="AD182" s="14"/>
      <c r="AE182" s="14"/>
      <c r="AF182" s="14"/>
    </row>
    <row r="183" customFormat="false" ht="15" hidden="false" customHeight="false" outlineLevel="0" collapsed="false">
      <c r="X183" s="14" t="s">
        <v>279</v>
      </c>
      <c r="Y183" s="14" t="s">
        <v>314</v>
      </c>
      <c r="Z183" s="36" t="s">
        <v>281</v>
      </c>
      <c r="AA183" s="52" t="n">
        <v>100</v>
      </c>
      <c r="AB183" s="36" t="s">
        <v>282</v>
      </c>
      <c r="AC183" s="52" t="n">
        <f aca="false">AA183</f>
        <v>100</v>
      </c>
      <c r="AD183" s="14" t="s">
        <v>283</v>
      </c>
      <c r="AF183" s="36" t="s">
        <v>145</v>
      </c>
      <c r="AG183" s="53" t="n">
        <f aca="false">AG188+AG192+AG195</f>
        <v>19.2386832</v>
      </c>
    </row>
    <row r="184" customFormat="false" ht="15" hidden="false" customHeight="false" outlineLevel="0" collapsed="false">
      <c r="X184" s="14" t="s">
        <v>284</v>
      </c>
      <c r="Y184" s="14" t="s">
        <v>285</v>
      </c>
      <c r="AC184" s="36" t="s">
        <v>123</v>
      </c>
      <c r="AD184" s="36" t="s">
        <v>286</v>
      </c>
      <c r="AE184" s="36" t="s">
        <v>287</v>
      </c>
      <c r="AF184" s="36" t="s">
        <v>288</v>
      </c>
      <c r="AG184" s="36" t="s">
        <v>289</v>
      </c>
    </row>
    <row r="185" customFormat="false" ht="15" hidden="false" customHeight="false" outlineLevel="0" collapsed="false">
      <c r="Y185" s="54" t="s">
        <v>290</v>
      </c>
    </row>
    <row r="186" customFormat="false" ht="15" hidden="false" customHeight="false" outlineLevel="0" collapsed="false">
      <c r="Y186" s="1" t="s">
        <v>651</v>
      </c>
      <c r="AC186" s="55" t="s">
        <v>292</v>
      </c>
      <c r="AD186" s="56" t="n">
        <v>1</v>
      </c>
      <c r="AE186" s="57" t="n">
        <f aca="false">AD186*8/$AA$183</f>
        <v>0.08</v>
      </c>
      <c r="AF186" s="28" t="n">
        <v>34.73</v>
      </c>
      <c r="AG186" s="28" t="n">
        <f aca="false">AE186*AF186</f>
        <v>2.7784</v>
      </c>
    </row>
    <row r="187" customFormat="false" ht="15" hidden="false" customHeight="false" outlineLevel="0" collapsed="false">
      <c r="Y187" s="1" t="s">
        <v>291</v>
      </c>
      <c r="AC187" s="55" t="s">
        <v>292</v>
      </c>
      <c r="AD187" s="56" t="n">
        <v>0.2</v>
      </c>
      <c r="AE187" s="57" t="n">
        <f aca="false">AD187*8/$AA$183</f>
        <v>0.016</v>
      </c>
      <c r="AF187" s="28" t="n">
        <v>28.94</v>
      </c>
      <c r="AG187" s="28" t="n">
        <f aca="false">AE187*AF187</f>
        <v>0.46304</v>
      </c>
    </row>
    <row r="188" customFormat="false" ht="15" hidden="false" customHeight="false" outlineLevel="0" collapsed="false">
      <c r="AC188" s="55"/>
      <c r="AD188" s="56"/>
      <c r="AE188" s="57"/>
      <c r="AF188" s="28"/>
      <c r="AG188" s="53" t="n">
        <f aca="false">SUM(AG186:AG187)</f>
        <v>3.24144</v>
      </c>
    </row>
    <row r="189" customFormat="false" ht="15" hidden="false" customHeight="false" outlineLevel="0" collapsed="false">
      <c r="Y189" s="54" t="s">
        <v>295</v>
      </c>
      <c r="AC189" s="55"/>
    </row>
    <row r="190" customFormat="false" ht="15" hidden="false" customHeight="false" outlineLevel="0" collapsed="false">
      <c r="Y190" s="1" t="s">
        <v>730</v>
      </c>
      <c r="AC190" s="55" t="s">
        <v>134</v>
      </c>
      <c r="AE190" s="57" t="n">
        <v>0.05</v>
      </c>
      <c r="AF190" s="28" t="n">
        <v>18</v>
      </c>
      <c r="AG190" s="28" t="n">
        <f aca="false">AE190*AF190</f>
        <v>0.9</v>
      </c>
    </row>
    <row r="191" customFormat="false" ht="15" hidden="false" customHeight="false" outlineLevel="0" collapsed="false">
      <c r="Y191" s="1" t="s">
        <v>731</v>
      </c>
      <c r="AC191" s="55" t="s">
        <v>440</v>
      </c>
      <c r="AE191" s="57" t="n">
        <v>0.1</v>
      </c>
      <c r="AF191" s="28" t="n">
        <v>150</v>
      </c>
      <c r="AG191" s="28" t="n">
        <f aca="false">AE191*AF191</f>
        <v>15</v>
      </c>
    </row>
    <row r="192" customFormat="false" ht="15" hidden="false" customHeight="false" outlineLevel="0" collapsed="false">
      <c r="AG192" s="53" t="n">
        <f aca="false">SUM(AG190:AG191)</f>
        <v>15.9</v>
      </c>
    </row>
    <row r="193" customFormat="false" ht="15" hidden="false" customHeight="false" outlineLevel="0" collapsed="false">
      <c r="Y193" s="54" t="s">
        <v>318</v>
      </c>
    </row>
    <row r="194" customFormat="false" ht="15" hidden="false" customHeight="false" outlineLevel="0" collapsed="false">
      <c r="Y194" s="1" t="s">
        <v>311</v>
      </c>
      <c r="AC194" s="55" t="s">
        <v>312</v>
      </c>
      <c r="AE194" s="57" t="n">
        <v>3</v>
      </c>
      <c r="AF194" s="28" t="n">
        <f aca="false">AG188</f>
        <v>3.24144</v>
      </c>
      <c r="AG194" s="28" t="n">
        <f aca="false">AE194%*AF194</f>
        <v>0.0972432</v>
      </c>
    </row>
    <row r="195" customFormat="false" ht="15" hidden="false" customHeight="false" outlineLevel="0" collapsed="false">
      <c r="X195" s="60"/>
      <c r="Y195" s="60"/>
      <c r="Z195" s="60"/>
      <c r="AA195" s="60"/>
      <c r="AB195" s="60"/>
      <c r="AC195" s="60"/>
      <c r="AD195" s="60"/>
      <c r="AE195" s="60"/>
      <c r="AF195" s="60"/>
      <c r="AG195" s="61" t="n">
        <f aca="false">SUM(AG194)</f>
        <v>0.0972432</v>
      </c>
    </row>
    <row r="197" customFormat="false" ht="15" hidden="false" customHeight="false" outlineLevel="0" collapsed="false">
      <c r="X197" s="14" t="s">
        <v>1324</v>
      </c>
      <c r="Y197" s="14"/>
      <c r="Z197" s="14" t="s">
        <v>606</v>
      </c>
      <c r="AA197" s="14"/>
      <c r="AB197" s="14"/>
      <c r="AC197" s="14"/>
      <c r="AD197" s="14"/>
      <c r="AE197" s="14"/>
      <c r="AF197" s="14"/>
    </row>
    <row r="198" customFormat="false" ht="15" hidden="false" customHeight="false" outlineLevel="0" collapsed="false">
      <c r="X198" s="14" t="s">
        <v>279</v>
      </c>
      <c r="Y198" s="14" t="s">
        <v>314</v>
      </c>
      <c r="Z198" s="36" t="s">
        <v>281</v>
      </c>
      <c r="AA198" s="52" t="n">
        <v>100</v>
      </c>
      <c r="AB198" s="36" t="s">
        <v>282</v>
      </c>
      <c r="AC198" s="52" t="n">
        <f aca="false">AA198</f>
        <v>100</v>
      </c>
      <c r="AD198" s="14" t="s">
        <v>283</v>
      </c>
      <c r="AF198" s="36" t="s">
        <v>145</v>
      </c>
      <c r="AG198" s="53" t="n">
        <f aca="false">AG203+AG207+AG210</f>
        <v>19.2386832</v>
      </c>
    </row>
    <row r="199" customFormat="false" ht="15" hidden="false" customHeight="false" outlineLevel="0" collapsed="false">
      <c r="X199" s="14" t="s">
        <v>284</v>
      </c>
      <c r="Y199" s="14" t="s">
        <v>285</v>
      </c>
      <c r="AC199" s="36" t="s">
        <v>123</v>
      </c>
      <c r="AD199" s="36" t="s">
        <v>286</v>
      </c>
      <c r="AE199" s="36" t="s">
        <v>287</v>
      </c>
      <c r="AF199" s="36" t="s">
        <v>288</v>
      </c>
      <c r="AG199" s="36" t="s">
        <v>289</v>
      </c>
    </row>
    <row r="200" customFormat="false" ht="15" hidden="false" customHeight="false" outlineLevel="0" collapsed="false">
      <c r="Y200" s="54" t="s">
        <v>290</v>
      </c>
    </row>
    <row r="201" customFormat="false" ht="15" hidden="false" customHeight="false" outlineLevel="0" collapsed="false">
      <c r="Y201" s="1" t="s">
        <v>651</v>
      </c>
      <c r="AC201" s="55" t="s">
        <v>292</v>
      </c>
      <c r="AD201" s="56" t="n">
        <v>1</v>
      </c>
      <c r="AE201" s="57" t="n">
        <f aca="false">AD201*8/$AA$198</f>
        <v>0.08</v>
      </c>
      <c r="AF201" s="28" t="n">
        <v>34.73</v>
      </c>
      <c r="AG201" s="28" t="n">
        <f aca="false">AE201*AF201</f>
        <v>2.7784</v>
      </c>
    </row>
    <row r="202" customFormat="false" ht="15" hidden="false" customHeight="false" outlineLevel="0" collapsed="false">
      <c r="Y202" s="1" t="s">
        <v>291</v>
      </c>
      <c r="AC202" s="55" t="s">
        <v>292</v>
      </c>
      <c r="AD202" s="56" t="n">
        <v>0.2</v>
      </c>
      <c r="AE202" s="57" t="n">
        <f aca="false">AD202*8/$AA$198</f>
        <v>0.016</v>
      </c>
      <c r="AF202" s="28" t="n">
        <v>28.94</v>
      </c>
      <c r="AG202" s="28" t="n">
        <f aca="false">AE202*AF202</f>
        <v>0.46304</v>
      </c>
    </row>
    <row r="203" customFormat="false" ht="15" hidden="false" customHeight="false" outlineLevel="0" collapsed="false">
      <c r="AC203" s="55"/>
      <c r="AD203" s="56"/>
      <c r="AE203" s="57"/>
      <c r="AF203" s="28"/>
      <c r="AG203" s="53" t="n">
        <f aca="false">SUM(AG201:AG202)</f>
        <v>3.24144</v>
      </c>
    </row>
    <row r="204" customFormat="false" ht="15" hidden="false" customHeight="false" outlineLevel="0" collapsed="false">
      <c r="Y204" s="54" t="s">
        <v>295</v>
      </c>
      <c r="AC204" s="55"/>
    </row>
    <row r="205" customFormat="false" ht="15" hidden="false" customHeight="false" outlineLevel="0" collapsed="false">
      <c r="Y205" s="1" t="s">
        <v>730</v>
      </c>
      <c r="AC205" s="55" t="s">
        <v>134</v>
      </c>
      <c r="AE205" s="57" t="n">
        <v>0.05</v>
      </c>
      <c r="AF205" s="28" t="n">
        <v>18</v>
      </c>
      <c r="AG205" s="28" t="n">
        <f aca="false">AE205*AF205</f>
        <v>0.9</v>
      </c>
    </row>
    <row r="206" customFormat="false" ht="15" hidden="false" customHeight="false" outlineLevel="0" collapsed="false">
      <c r="Y206" s="1" t="s">
        <v>731</v>
      </c>
      <c r="AC206" s="55" t="s">
        <v>440</v>
      </c>
      <c r="AE206" s="57" t="n">
        <v>0.1</v>
      </c>
      <c r="AF206" s="28" t="n">
        <v>150</v>
      </c>
      <c r="AG206" s="28" t="n">
        <f aca="false">AE206*AF206</f>
        <v>15</v>
      </c>
    </row>
    <row r="207" customFormat="false" ht="15" hidden="false" customHeight="false" outlineLevel="0" collapsed="false">
      <c r="AG207" s="53" t="n">
        <f aca="false">SUM(AG205:AG206)</f>
        <v>15.9</v>
      </c>
    </row>
    <row r="208" customFormat="false" ht="15" hidden="false" customHeight="false" outlineLevel="0" collapsed="false">
      <c r="Y208" s="54" t="s">
        <v>318</v>
      </c>
    </row>
    <row r="209" customFormat="false" ht="15" hidden="false" customHeight="false" outlineLevel="0" collapsed="false">
      <c r="Y209" s="1" t="s">
        <v>311</v>
      </c>
      <c r="AC209" s="55" t="s">
        <v>312</v>
      </c>
      <c r="AE209" s="57" t="n">
        <v>3</v>
      </c>
      <c r="AF209" s="28" t="n">
        <f aca="false">AG203</f>
        <v>3.24144</v>
      </c>
      <c r="AG209" s="28" t="n">
        <f aca="false">AE209%*AF209</f>
        <v>0.0972432</v>
      </c>
    </row>
    <row r="210" customFormat="false" ht="15" hidden="false" customHeight="false" outlineLevel="0" collapsed="false">
      <c r="X210" s="60"/>
      <c r="Y210" s="60"/>
      <c r="Z210" s="60"/>
      <c r="AA210" s="60"/>
      <c r="AB210" s="60"/>
      <c r="AC210" s="60"/>
      <c r="AD210" s="60"/>
      <c r="AE210" s="60"/>
      <c r="AF210" s="60"/>
      <c r="AG210" s="61" t="n">
        <f aca="false">SUM(AG209)</f>
        <v>0.0972432</v>
      </c>
    </row>
    <row r="212" customFormat="false" ht="15" hidden="false" customHeight="false" outlineLevel="0" collapsed="false">
      <c r="X212" s="14" t="s">
        <v>278</v>
      </c>
      <c r="Y212" s="14"/>
      <c r="Z212" s="14" t="s">
        <v>608</v>
      </c>
      <c r="AA212" s="14"/>
    </row>
    <row r="213" customFormat="false" ht="15" hidden="false" customHeight="false" outlineLevel="0" collapsed="false">
      <c r="X213" s="14" t="s">
        <v>279</v>
      </c>
      <c r="Y213" s="14" t="s">
        <v>314</v>
      </c>
      <c r="Z213" s="36" t="s">
        <v>281</v>
      </c>
      <c r="AA213" s="52" t="n">
        <v>1</v>
      </c>
      <c r="AB213" s="36" t="s">
        <v>282</v>
      </c>
      <c r="AC213" s="52" t="n">
        <f aca="false">AA213</f>
        <v>1</v>
      </c>
      <c r="AD213" s="14" t="s">
        <v>283</v>
      </c>
      <c r="AF213" s="36" t="s">
        <v>145</v>
      </c>
      <c r="AG213" s="53" t="n">
        <f aca="false">AG217</f>
        <v>616.64</v>
      </c>
    </row>
    <row r="214" customFormat="false" ht="15" hidden="false" customHeight="false" outlineLevel="0" collapsed="false">
      <c r="X214" s="14" t="s">
        <v>284</v>
      </c>
      <c r="Y214" s="14" t="s">
        <v>285</v>
      </c>
      <c r="AC214" s="36" t="s">
        <v>123</v>
      </c>
      <c r="AD214" s="36" t="s">
        <v>286</v>
      </c>
      <c r="AE214" s="36" t="s">
        <v>287</v>
      </c>
      <c r="AF214" s="36" t="s">
        <v>288</v>
      </c>
      <c r="AG214" s="36" t="s">
        <v>289</v>
      </c>
    </row>
    <row r="215" customFormat="false" ht="15" hidden="false" customHeight="false" outlineLevel="0" collapsed="false">
      <c r="Y215" s="54" t="s">
        <v>290</v>
      </c>
    </row>
    <row r="216" customFormat="false" ht="15" hidden="false" customHeight="false" outlineLevel="0" collapsed="false">
      <c r="Y216" s="1" t="s">
        <v>608</v>
      </c>
      <c r="AE216" s="57" t="n">
        <v>1</v>
      </c>
      <c r="AF216" s="28" t="n">
        <v>616.64</v>
      </c>
      <c r="AG216" s="28" t="n">
        <f aca="false">AE216*AF216</f>
        <v>616.64</v>
      </c>
    </row>
    <row r="217" customFormat="false" ht="15" hidden="false" customHeight="false" outlineLevel="0" collapsed="false">
      <c r="X217" s="60"/>
      <c r="Y217" s="60"/>
      <c r="Z217" s="60"/>
      <c r="AA217" s="60"/>
      <c r="AB217" s="60"/>
      <c r="AC217" s="62"/>
      <c r="AD217" s="60"/>
      <c r="AE217" s="64"/>
      <c r="AF217" s="65"/>
      <c r="AG217" s="61" t="n">
        <f aca="false">SUM(AG216)</f>
        <v>616.64</v>
      </c>
    </row>
    <row r="219" customFormat="false" ht="15" hidden="false" customHeight="false" outlineLevel="0" collapsed="false">
      <c r="X219" s="14" t="s">
        <v>1324</v>
      </c>
      <c r="Y219" s="14"/>
      <c r="Z219" s="14" t="s">
        <v>1336</v>
      </c>
      <c r="AA219" s="14"/>
      <c r="AB219" s="14"/>
      <c r="AC219" s="14"/>
      <c r="AD219" s="14"/>
      <c r="AE219" s="14"/>
      <c r="AF219" s="14"/>
    </row>
    <row r="220" customFormat="false" ht="15" hidden="false" customHeight="false" outlineLevel="0" collapsed="false">
      <c r="X220" s="14" t="s">
        <v>279</v>
      </c>
      <c r="Y220" s="14" t="s">
        <v>280</v>
      </c>
      <c r="Z220" s="36" t="s">
        <v>281</v>
      </c>
      <c r="AA220" s="52" t="n">
        <v>10</v>
      </c>
      <c r="AB220" s="36" t="s">
        <v>282</v>
      </c>
      <c r="AC220" s="52" t="n">
        <f aca="false">AA220</f>
        <v>10</v>
      </c>
      <c r="AD220" s="14" t="s">
        <v>283</v>
      </c>
      <c r="AF220" s="36" t="s">
        <v>134</v>
      </c>
      <c r="AG220" s="53" t="n">
        <f aca="false">AG226+AG230+AG233</f>
        <v>51.058432</v>
      </c>
    </row>
    <row r="221" customFormat="false" ht="15" hidden="false" customHeight="false" outlineLevel="0" collapsed="false">
      <c r="X221" s="14" t="s">
        <v>284</v>
      </c>
      <c r="Y221" s="14" t="s">
        <v>285</v>
      </c>
      <c r="AC221" s="36" t="s">
        <v>123</v>
      </c>
      <c r="AD221" s="36" t="s">
        <v>286</v>
      </c>
      <c r="AE221" s="36" t="s">
        <v>287</v>
      </c>
      <c r="AF221" s="36" t="s">
        <v>288</v>
      </c>
      <c r="AG221" s="36" t="s">
        <v>289</v>
      </c>
    </row>
    <row r="222" customFormat="false" ht="15" hidden="false" customHeight="false" outlineLevel="0" collapsed="false">
      <c r="Y222" s="54" t="s">
        <v>290</v>
      </c>
    </row>
    <row r="223" customFormat="false" ht="15" hidden="false" customHeight="false" outlineLevel="0" collapsed="false">
      <c r="Y223" s="1" t="s">
        <v>651</v>
      </c>
      <c r="AC223" s="55" t="s">
        <v>292</v>
      </c>
      <c r="AD223" s="56" t="n">
        <v>0.1</v>
      </c>
      <c r="AE223" s="57" t="n">
        <f aca="false">AD223*8/$AA$220</f>
        <v>0.08</v>
      </c>
      <c r="AF223" s="28" t="n">
        <v>34.73</v>
      </c>
      <c r="AG223" s="28" t="n">
        <f aca="false">AE223*AF223</f>
        <v>2.7784</v>
      </c>
    </row>
    <row r="224" customFormat="false" ht="15" hidden="false" customHeight="false" outlineLevel="0" collapsed="false">
      <c r="Y224" s="1" t="s">
        <v>291</v>
      </c>
      <c r="AC224" s="55" t="s">
        <v>292</v>
      </c>
      <c r="AD224" s="56" t="n">
        <v>1</v>
      </c>
      <c r="AE224" s="57" t="n">
        <f aca="false">AD224*8/$AA$220</f>
        <v>0.8</v>
      </c>
      <c r="AF224" s="28" t="n">
        <v>28.94</v>
      </c>
      <c r="AG224" s="28" t="n">
        <f aca="false">AE224*AF224</f>
        <v>23.152</v>
      </c>
    </row>
    <row r="225" customFormat="false" ht="15" hidden="false" customHeight="false" outlineLevel="0" collapsed="false">
      <c r="Y225" s="1" t="s">
        <v>294</v>
      </c>
      <c r="AC225" s="55" t="s">
        <v>292</v>
      </c>
      <c r="AD225" s="56" t="n">
        <v>0.5</v>
      </c>
      <c r="AE225" s="57" t="n">
        <f aca="false">AD225*8/$AA$220</f>
        <v>0.4</v>
      </c>
      <c r="AF225" s="28" t="n">
        <v>20.51</v>
      </c>
      <c r="AG225" s="28" t="n">
        <f aca="false">AE225*AF225</f>
        <v>8.204</v>
      </c>
    </row>
    <row r="226" customFormat="false" ht="15" hidden="false" customHeight="false" outlineLevel="0" collapsed="false">
      <c r="AG226" s="53" t="n">
        <f aca="false">SUM(AG223:AG225)</f>
        <v>34.1344</v>
      </c>
    </row>
    <row r="227" customFormat="false" ht="15" hidden="false" customHeight="false" outlineLevel="0" collapsed="false">
      <c r="Y227" s="54" t="s">
        <v>295</v>
      </c>
      <c r="AC227" s="55"/>
    </row>
    <row r="228" customFormat="false" ht="15" hidden="false" customHeight="false" outlineLevel="0" collapsed="false">
      <c r="Y228" s="1" t="s">
        <v>961</v>
      </c>
      <c r="AC228" s="55" t="s">
        <v>440</v>
      </c>
      <c r="AE228" s="57" t="n">
        <v>0.05</v>
      </c>
      <c r="AF228" s="28" t="n">
        <v>18</v>
      </c>
      <c r="AG228" s="28" t="n">
        <f aca="false">AE228*AF228</f>
        <v>0.9</v>
      </c>
    </row>
    <row r="229" customFormat="false" ht="15" hidden="false" customHeight="false" outlineLevel="0" collapsed="false">
      <c r="Y229" s="1" t="s">
        <v>962</v>
      </c>
      <c r="AC229" s="55" t="s">
        <v>440</v>
      </c>
      <c r="AE229" s="57" t="n">
        <v>0.1</v>
      </c>
      <c r="AF229" s="28" t="n">
        <v>150</v>
      </c>
      <c r="AG229" s="28" t="n">
        <f aca="false">AE229*AF229</f>
        <v>15</v>
      </c>
    </row>
    <row r="230" customFormat="false" ht="15" hidden="false" customHeight="false" outlineLevel="0" collapsed="false">
      <c r="AG230" s="53" t="n">
        <f aca="false">SUM(AG228:AG229)</f>
        <v>15.9</v>
      </c>
    </row>
    <row r="231" customFormat="false" ht="15" hidden="false" customHeight="false" outlineLevel="0" collapsed="false">
      <c r="Y231" s="54" t="s">
        <v>318</v>
      </c>
    </row>
    <row r="232" customFormat="false" ht="15" hidden="false" customHeight="false" outlineLevel="0" collapsed="false">
      <c r="Y232" s="1" t="s">
        <v>311</v>
      </c>
      <c r="AC232" s="55" t="s">
        <v>312</v>
      </c>
      <c r="AE232" s="57" t="n">
        <v>3</v>
      </c>
      <c r="AF232" s="28" t="n">
        <f aca="false">AG226</f>
        <v>34.1344</v>
      </c>
      <c r="AG232" s="28" t="n">
        <f aca="false">AE232%*AF232</f>
        <v>1.024032</v>
      </c>
    </row>
    <row r="233" customFormat="false" ht="15" hidden="false" customHeight="false" outlineLevel="0" collapsed="false">
      <c r="X233" s="60"/>
      <c r="Y233" s="60"/>
      <c r="Z233" s="60"/>
      <c r="AA233" s="60"/>
      <c r="AB233" s="60"/>
      <c r="AC233" s="60"/>
      <c r="AD233" s="60"/>
      <c r="AE233" s="60"/>
      <c r="AF233" s="60"/>
      <c r="AG233" s="61" t="n">
        <f aca="false">SUM(AG232)</f>
        <v>1.024032</v>
      </c>
    </row>
    <row r="234" customFormat="false" ht="15" hidden="false" customHeight="false" outlineLevel="0" collapsed="false">
      <c r="AG234" s="53"/>
    </row>
    <row r="235" customFormat="false" ht="15" hidden="false" customHeight="false" outlineLevel="0" collapsed="false">
      <c r="M235" s="14" t="s">
        <v>278</v>
      </c>
      <c r="N235" s="14"/>
      <c r="O235" s="14" t="s">
        <v>1355</v>
      </c>
      <c r="P235" s="14"/>
      <c r="Q235" s="14"/>
      <c r="R235" s="14"/>
      <c r="S235" s="14"/>
      <c r="T235" s="14"/>
      <c r="U235" s="14"/>
    </row>
    <row r="236" customFormat="false" ht="15" hidden="false" customHeight="false" outlineLevel="0" collapsed="false">
      <c r="M236" s="14" t="s">
        <v>279</v>
      </c>
      <c r="N236" s="14" t="s">
        <v>280</v>
      </c>
      <c r="O236" s="36" t="s">
        <v>281</v>
      </c>
      <c r="P236" s="52" t="n">
        <v>1</v>
      </c>
      <c r="Q236" s="36" t="s">
        <v>282</v>
      </c>
      <c r="R236" s="52" t="n">
        <f aca="false">P236</f>
        <v>1</v>
      </c>
      <c r="S236" s="14" t="s">
        <v>283</v>
      </c>
      <c r="U236" s="36" t="s">
        <v>134</v>
      </c>
      <c r="V236" s="53" t="n">
        <f aca="false">V240</f>
        <v>169.49</v>
      </c>
    </row>
    <row r="237" customFormat="false" ht="15" hidden="false" customHeight="false" outlineLevel="0" collapsed="false">
      <c r="M237" s="14" t="s">
        <v>284</v>
      </c>
      <c r="N237" s="14" t="s">
        <v>285</v>
      </c>
      <c r="R237" s="36" t="s">
        <v>123</v>
      </c>
      <c r="S237" s="36" t="s">
        <v>286</v>
      </c>
      <c r="T237" s="36" t="s">
        <v>287</v>
      </c>
      <c r="U237" s="36" t="s">
        <v>288</v>
      </c>
      <c r="V237" s="36" t="s">
        <v>289</v>
      </c>
    </row>
    <row r="238" customFormat="false" ht="15" hidden="false" customHeight="false" outlineLevel="0" collapsed="false">
      <c r="N238" s="54" t="s">
        <v>295</v>
      </c>
    </row>
    <row r="239" customFormat="false" ht="15" hidden="false" customHeight="false" outlineLevel="0" collapsed="false">
      <c r="N239" s="1" t="s">
        <v>1355</v>
      </c>
      <c r="R239" s="55" t="s">
        <v>134</v>
      </c>
      <c r="S239" s="56"/>
      <c r="T239" s="57" t="n">
        <v>1</v>
      </c>
      <c r="U239" s="28" t="n">
        <v>169.49</v>
      </c>
      <c r="V239" s="28" t="n">
        <f aca="false">T239*U239</f>
        <v>169.49</v>
      </c>
    </row>
    <row r="240" customFormat="false" ht="15" hidden="false" customHeight="false" outlineLevel="0" collapsed="false">
      <c r="M240" s="60"/>
      <c r="N240" s="60"/>
      <c r="O240" s="60"/>
      <c r="P240" s="60"/>
      <c r="Q240" s="60"/>
      <c r="R240" s="60"/>
      <c r="S240" s="60"/>
      <c r="T240" s="60"/>
      <c r="U240" s="60"/>
      <c r="V240" s="61" t="n">
        <f aca="false">SUM(V239)</f>
        <v>169.49</v>
      </c>
    </row>
    <row r="241" customFormat="false" ht="15" hidden="false" customHeight="false" outlineLevel="0" collapsed="false">
      <c r="R241" s="55"/>
      <c r="S241" s="56"/>
      <c r="T241" s="57"/>
      <c r="U241" s="28"/>
      <c r="V241" s="28"/>
    </row>
    <row r="242" customFormat="false" ht="15" hidden="false" customHeight="false" outlineLevel="0" collapsed="false">
      <c r="M242" s="14" t="s">
        <v>278</v>
      </c>
      <c r="N242" s="14"/>
      <c r="O242" s="14" t="s">
        <v>79</v>
      </c>
      <c r="P242" s="14"/>
      <c r="Q242" s="14"/>
      <c r="R242" s="14"/>
      <c r="S242" s="14"/>
      <c r="T242" s="14"/>
      <c r="U242" s="14"/>
    </row>
    <row r="243" customFormat="false" ht="15" hidden="false" customHeight="false" outlineLevel="0" collapsed="false">
      <c r="M243" s="14" t="s">
        <v>279</v>
      </c>
      <c r="N243" s="14" t="s">
        <v>326</v>
      </c>
      <c r="O243" s="36" t="s">
        <v>281</v>
      </c>
      <c r="P243" s="52" t="n">
        <v>1</v>
      </c>
      <c r="Q243" s="36" t="s">
        <v>282</v>
      </c>
      <c r="R243" s="52" t="n">
        <f aca="false">P243</f>
        <v>1</v>
      </c>
      <c r="S243" s="14" t="s">
        <v>283</v>
      </c>
      <c r="U243" s="36" t="s">
        <v>150</v>
      </c>
      <c r="V243" s="53" t="n">
        <f aca="false">V250+V269+V272</f>
        <v>2147.20033126552</v>
      </c>
    </row>
    <row r="244" customFormat="false" ht="15" hidden="false" customHeight="false" outlineLevel="0" collapsed="false">
      <c r="M244" s="14" t="s">
        <v>284</v>
      </c>
      <c r="N244" s="14" t="s">
        <v>285</v>
      </c>
      <c r="R244" s="36" t="s">
        <v>123</v>
      </c>
      <c r="S244" s="36" t="s">
        <v>286</v>
      </c>
      <c r="T244" s="36" t="s">
        <v>287</v>
      </c>
      <c r="U244" s="36" t="s">
        <v>288</v>
      </c>
      <c r="V244" s="36" t="s">
        <v>289</v>
      </c>
    </row>
    <row r="245" customFormat="false" ht="15" hidden="false" customHeight="false" outlineLevel="0" collapsed="false">
      <c r="N245" s="54" t="s">
        <v>290</v>
      </c>
    </row>
    <row r="246" customFormat="false" ht="15" hidden="false" customHeight="false" outlineLevel="0" collapsed="false">
      <c r="N246" s="1" t="s">
        <v>651</v>
      </c>
      <c r="R246" s="55" t="s">
        <v>292</v>
      </c>
      <c r="S246" s="56" t="n">
        <v>0.1</v>
      </c>
      <c r="T246" s="57" t="n">
        <f aca="false">S246*8/$P$243</f>
        <v>0.8</v>
      </c>
      <c r="U246" s="28" t="n">
        <v>34.73</v>
      </c>
      <c r="V246" s="28" t="n">
        <f aca="false">T246*U246</f>
        <v>27.784</v>
      </c>
    </row>
    <row r="247" customFormat="false" ht="15" hidden="false" customHeight="false" outlineLevel="0" collapsed="false">
      <c r="N247" s="1" t="s">
        <v>291</v>
      </c>
      <c r="R247" s="55" t="s">
        <v>292</v>
      </c>
      <c r="S247" s="56" t="n">
        <v>1</v>
      </c>
      <c r="T247" s="57" t="n">
        <f aca="false">S247*8/$P$243</f>
        <v>8</v>
      </c>
      <c r="U247" s="28" t="n">
        <v>28.94</v>
      </c>
      <c r="V247" s="28" t="n">
        <f aca="false">T247*U247</f>
        <v>231.52</v>
      </c>
    </row>
    <row r="248" customFormat="false" ht="15" hidden="false" customHeight="false" outlineLevel="0" collapsed="false">
      <c r="N248" s="1" t="s">
        <v>680</v>
      </c>
      <c r="R248" s="55" t="s">
        <v>292</v>
      </c>
      <c r="S248" s="56" t="n">
        <v>1</v>
      </c>
      <c r="T248" s="57" t="n">
        <f aca="false">S248*8/$P$243</f>
        <v>8</v>
      </c>
      <c r="U248" s="1" t="n">
        <v>22.66</v>
      </c>
      <c r="V248" s="28" t="n">
        <f aca="false">T248*U248</f>
        <v>181.28</v>
      </c>
    </row>
    <row r="249" customFormat="false" ht="15" hidden="false" customHeight="false" outlineLevel="0" collapsed="false">
      <c r="N249" s="1" t="s">
        <v>294</v>
      </c>
      <c r="R249" s="55" t="s">
        <v>292</v>
      </c>
      <c r="S249" s="56" t="n">
        <v>2</v>
      </c>
      <c r="T249" s="57" t="n">
        <f aca="false">S249*8/$P$243</f>
        <v>16</v>
      </c>
      <c r="U249" s="28" t="n">
        <v>20.51</v>
      </c>
      <c r="V249" s="28" t="n">
        <f aca="false">T249*U249</f>
        <v>328.16</v>
      </c>
    </row>
    <row r="250" customFormat="false" ht="15" hidden="false" customHeight="false" outlineLevel="0" collapsed="false">
      <c r="V250" s="53" t="n">
        <f aca="false">SUM(V246:V249)</f>
        <v>768.744</v>
      </c>
    </row>
    <row r="251" customFormat="false" ht="15" hidden="false" customHeight="false" outlineLevel="0" collapsed="false">
      <c r="N251" s="54" t="s">
        <v>295</v>
      </c>
      <c r="R251" s="55"/>
    </row>
    <row r="252" customFormat="false" ht="15" hidden="false" customHeight="false" outlineLevel="0" collapsed="false">
      <c r="N252" s="119" t="s">
        <v>296</v>
      </c>
      <c r="R252" s="55" t="s">
        <v>297</v>
      </c>
      <c r="T252" s="57" t="n">
        <v>0.5</v>
      </c>
      <c r="U252" s="1" t="n">
        <v>2.64</v>
      </c>
      <c r="V252" s="28" t="n">
        <f aca="false">T252*U252</f>
        <v>1.32</v>
      </c>
    </row>
    <row r="253" customFormat="false" ht="15" hidden="false" customHeight="false" outlineLevel="0" collapsed="false">
      <c r="N253" s="119" t="s">
        <v>727</v>
      </c>
      <c r="R253" s="55" t="s">
        <v>297</v>
      </c>
      <c r="T253" s="57" t="n">
        <v>0.592</v>
      </c>
      <c r="U253" s="1" t="n">
        <v>4.16</v>
      </c>
      <c r="V253" s="28" t="n">
        <f aca="false">T253*U253</f>
        <v>2.46272</v>
      </c>
    </row>
    <row r="254" customFormat="false" ht="15" hidden="false" customHeight="false" outlineLevel="0" collapsed="false">
      <c r="N254" s="119" t="s">
        <v>969</v>
      </c>
      <c r="R254" s="55" t="s">
        <v>134</v>
      </c>
      <c r="T254" s="57" t="n">
        <v>0.03</v>
      </c>
      <c r="U254" s="1" t="n">
        <v>83.22</v>
      </c>
      <c r="V254" s="28" t="n">
        <f aca="false">T254*U254</f>
        <v>2.4966</v>
      </c>
    </row>
    <row r="255" customFormat="false" ht="15" hidden="false" customHeight="false" outlineLevel="0" collapsed="false">
      <c r="N255" s="117" t="s">
        <v>896</v>
      </c>
      <c r="R255" s="55" t="s">
        <v>204</v>
      </c>
      <c r="T255" s="57" t="n">
        <v>0.138</v>
      </c>
      <c r="U255" s="1" t="n">
        <v>50.85</v>
      </c>
      <c r="V255" s="28" t="n">
        <f aca="false">T255*U255</f>
        <v>7.0173</v>
      </c>
    </row>
    <row r="256" customFormat="false" ht="15" hidden="false" customHeight="false" outlineLevel="0" collapsed="false">
      <c r="N256" s="119" t="s">
        <v>701</v>
      </c>
      <c r="R256" s="55" t="s">
        <v>204</v>
      </c>
      <c r="T256" s="57" t="n">
        <v>0.255</v>
      </c>
      <c r="U256" s="28" t="n">
        <v>47</v>
      </c>
      <c r="V256" s="28" t="n">
        <f aca="false">T256*U256</f>
        <v>11.985</v>
      </c>
    </row>
    <row r="257" customFormat="false" ht="15" hidden="false" customHeight="false" outlineLevel="0" collapsed="false">
      <c r="N257" s="119" t="s">
        <v>722</v>
      </c>
      <c r="R257" s="55" t="s">
        <v>432</v>
      </c>
      <c r="T257" s="57" t="n">
        <v>4.326</v>
      </c>
      <c r="U257" s="1" t="n">
        <v>24.52</v>
      </c>
      <c r="V257" s="28" t="n">
        <f aca="false">T257*U257</f>
        <v>106.07352</v>
      </c>
    </row>
    <row r="258" customFormat="false" ht="15" hidden="false" customHeight="false" outlineLevel="0" collapsed="false">
      <c r="N258" s="119" t="s">
        <v>309</v>
      </c>
      <c r="R258" s="55" t="s">
        <v>306</v>
      </c>
      <c r="S258" s="56"/>
      <c r="T258" s="57" t="n">
        <v>12.116</v>
      </c>
      <c r="U258" s="28" t="n">
        <v>8.8</v>
      </c>
      <c r="V258" s="28" t="n">
        <f aca="false">T258*U258</f>
        <v>106.6208</v>
      </c>
    </row>
    <row r="259" customFormat="false" ht="15" hidden="false" customHeight="false" outlineLevel="0" collapsed="false">
      <c r="N259" s="119" t="s">
        <v>970</v>
      </c>
      <c r="R259" s="55" t="s">
        <v>440</v>
      </c>
      <c r="S259" s="56"/>
      <c r="T259" s="57" t="n">
        <v>0.057</v>
      </c>
      <c r="U259" s="28" t="n">
        <v>38.98</v>
      </c>
      <c r="V259" s="28" t="n">
        <f aca="false">T259*U259</f>
        <v>2.22186</v>
      </c>
    </row>
    <row r="260" customFormat="false" ht="15" hidden="false" customHeight="false" outlineLevel="0" collapsed="false">
      <c r="N260" s="119" t="s">
        <v>971</v>
      </c>
      <c r="R260" s="55" t="s">
        <v>440</v>
      </c>
      <c r="S260" s="56"/>
      <c r="T260" s="57" t="n">
        <v>0.1</v>
      </c>
      <c r="U260" s="28" t="n">
        <v>94</v>
      </c>
      <c r="V260" s="28" t="n">
        <f aca="false">T260*U260</f>
        <v>9.4</v>
      </c>
    </row>
    <row r="261" customFormat="false" ht="15" hidden="false" customHeight="false" outlineLevel="0" collapsed="false">
      <c r="N261" s="119" t="s">
        <v>972</v>
      </c>
      <c r="R261" s="55" t="s">
        <v>145</v>
      </c>
      <c r="S261" s="56"/>
      <c r="T261" s="57" t="n">
        <v>2.7</v>
      </c>
      <c r="U261" s="28" t="n">
        <v>52.704</v>
      </c>
      <c r="V261" s="28" t="n">
        <f aca="false">T261*U261</f>
        <v>142.3008</v>
      </c>
    </row>
    <row r="262" customFormat="false" ht="15" hidden="false" customHeight="false" outlineLevel="0" collapsed="false">
      <c r="N262" s="119" t="s">
        <v>973</v>
      </c>
      <c r="R262" s="55" t="s">
        <v>145</v>
      </c>
      <c r="T262" s="57" t="n">
        <v>2.7</v>
      </c>
      <c r="U262" s="28" t="n">
        <v>101.4918</v>
      </c>
      <c r="V262" s="28" t="n">
        <f aca="false">T262*U262</f>
        <v>274.02786</v>
      </c>
    </row>
    <row r="263" customFormat="false" ht="15" hidden="false" customHeight="false" outlineLevel="0" collapsed="false">
      <c r="N263" s="119" t="s">
        <v>974</v>
      </c>
      <c r="R263" s="55" t="s">
        <v>145</v>
      </c>
      <c r="T263" s="57" t="n">
        <v>3.3</v>
      </c>
      <c r="U263" s="28" t="n">
        <v>123.0126</v>
      </c>
      <c r="V263" s="28" t="n">
        <f aca="false">T263*U263</f>
        <v>405.94158</v>
      </c>
    </row>
    <row r="264" customFormat="false" ht="15" hidden="false" customHeight="false" outlineLevel="0" collapsed="false">
      <c r="N264" s="119" t="s">
        <v>975</v>
      </c>
      <c r="R264" s="55" t="s">
        <v>145</v>
      </c>
      <c r="T264" s="57" t="n">
        <v>18</v>
      </c>
      <c r="U264" s="28" t="n">
        <v>14.8154476148987</v>
      </c>
      <c r="V264" s="28" t="n">
        <f aca="false">T264*U264</f>
        <v>266.678057068177</v>
      </c>
    </row>
    <row r="265" customFormat="false" ht="15" hidden="false" customHeight="false" outlineLevel="0" collapsed="false">
      <c r="N265" s="119" t="s">
        <v>976</v>
      </c>
      <c r="R265" s="55" t="s">
        <v>150</v>
      </c>
      <c r="T265" s="57" t="n">
        <v>6</v>
      </c>
      <c r="U265" s="28" t="n">
        <v>0.67</v>
      </c>
      <c r="V265" s="28" t="n">
        <f aca="false">T265*U265</f>
        <v>4.02</v>
      </c>
    </row>
    <row r="266" customFormat="false" ht="15" hidden="false" customHeight="false" outlineLevel="0" collapsed="false">
      <c r="N266" s="119" t="s">
        <v>977</v>
      </c>
      <c r="R266" s="55" t="s">
        <v>150</v>
      </c>
      <c r="T266" s="57" t="n">
        <v>6</v>
      </c>
      <c r="U266" s="28" t="n">
        <v>0.628839032890438</v>
      </c>
      <c r="V266" s="28" t="n">
        <f aca="false">T266*U266</f>
        <v>3.77303419734263</v>
      </c>
    </row>
    <row r="267" customFormat="false" ht="15" hidden="false" customHeight="false" outlineLevel="0" collapsed="false">
      <c r="N267" s="119" t="s">
        <v>978</v>
      </c>
      <c r="R267" s="55" t="s">
        <v>297</v>
      </c>
      <c r="T267" s="57" t="n">
        <v>0.1</v>
      </c>
      <c r="U267" s="28" t="n">
        <v>84.9</v>
      </c>
      <c r="V267" s="28" t="n">
        <f aca="false">T267*U267</f>
        <v>8.49</v>
      </c>
    </row>
    <row r="268" customFormat="false" ht="15" hidden="false" customHeight="false" outlineLevel="0" collapsed="false">
      <c r="N268" s="119" t="s">
        <v>665</v>
      </c>
      <c r="R268" s="55" t="s">
        <v>204</v>
      </c>
      <c r="T268" s="57" t="n">
        <v>0.092</v>
      </c>
      <c r="U268" s="28" t="n">
        <v>6.14</v>
      </c>
      <c r="V268" s="28" t="n">
        <f aca="false">T268*U268</f>
        <v>0.56488</v>
      </c>
    </row>
    <row r="269" customFormat="false" ht="15" hidden="false" customHeight="false" outlineLevel="0" collapsed="false">
      <c r="V269" s="53" t="n">
        <f aca="false">SUM(V252:V268)</f>
        <v>1355.39401126552</v>
      </c>
    </row>
    <row r="270" customFormat="false" ht="15" hidden="false" customHeight="false" outlineLevel="0" collapsed="false">
      <c r="N270" s="54" t="s">
        <v>318</v>
      </c>
    </row>
    <row r="271" customFormat="false" ht="15" hidden="false" customHeight="false" outlineLevel="0" collapsed="false">
      <c r="N271" s="1" t="s">
        <v>311</v>
      </c>
      <c r="R271" s="55" t="s">
        <v>312</v>
      </c>
      <c r="T271" s="57" t="n">
        <v>3</v>
      </c>
      <c r="U271" s="28" t="n">
        <f aca="false">V250</f>
        <v>768.744</v>
      </c>
      <c r="V271" s="28" t="n">
        <f aca="false">T271%*U271</f>
        <v>23.06232</v>
      </c>
    </row>
    <row r="272" customFormat="false" ht="15" hidden="false" customHeight="false" outlineLevel="0" collapsed="false">
      <c r="M272" s="60"/>
      <c r="N272" s="60"/>
      <c r="O272" s="60"/>
      <c r="P272" s="60"/>
      <c r="Q272" s="60"/>
      <c r="R272" s="60"/>
      <c r="S272" s="60"/>
      <c r="T272" s="60"/>
      <c r="U272" s="60"/>
      <c r="V272" s="61" t="n">
        <f aca="false">SUM(V271)</f>
        <v>23.06232</v>
      </c>
    </row>
    <row r="273" customFormat="false" ht="15" hidden="false" customHeight="false" outlineLevel="0" collapsed="false">
      <c r="R273" s="55"/>
      <c r="S273" s="56"/>
      <c r="T273" s="57"/>
      <c r="U273" s="28"/>
      <c r="V273" s="28"/>
    </row>
    <row r="274" customFormat="false" ht="15" hidden="false" customHeight="false" outlineLevel="0" collapsed="false">
      <c r="F274" s="173"/>
      <c r="G274" s="180"/>
      <c r="H274" s="199"/>
      <c r="I274" s="113"/>
      <c r="J274" s="199"/>
      <c r="K274" s="200"/>
      <c r="M274" s="14" t="s">
        <v>278</v>
      </c>
      <c r="N274" s="14"/>
      <c r="O274" s="14" t="s">
        <v>1356</v>
      </c>
      <c r="P274" s="14"/>
      <c r="Q274" s="14"/>
      <c r="R274" s="14"/>
      <c r="S274" s="14"/>
      <c r="T274" s="14"/>
      <c r="U274" s="14"/>
    </row>
    <row r="275" customFormat="false" ht="15" hidden="false" customHeight="false" outlineLevel="0" collapsed="false">
      <c r="F275" s="173"/>
      <c r="G275" s="180"/>
      <c r="H275" s="199"/>
      <c r="I275" s="113"/>
      <c r="J275" s="199"/>
      <c r="K275" s="200"/>
      <c r="M275" s="14" t="s">
        <v>279</v>
      </c>
      <c r="N275" s="14" t="s">
        <v>280</v>
      </c>
      <c r="O275" s="36" t="s">
        <v>281</v>
      </c>
      <c r="P275" s="52" t="n">
        <v>1</v>
      </c>
      <c r="Q275" s="36" t="s">
        <v>282</v>
      </c>
      <c r="R275" s="52" t="n">
        <f aca="false">P275</f>
        <v>1</v>
      </c>
      <c r="S275" s="14" t="s">
        <v>283</v>
      </c>
      <c r="U275" s="36" t="s">
        <v>134</v>
      </c>
      <c r="V275" s="53" t="n">
        <f aca="false">V289</f>
        <v>136.58560240992</v>
      </c>
      <c r="X275" s="14" t="s">
        <v>1324</v>
      </c>
      <c r="Y275" s="14"/>
      <c r="Z275" s="14" t="s">
        <v>621</v>
      </c>
      <c r="AA275" s="14"/>
      <c r="AB275" s="14"/>
      <c r="AC275" s="14"/>
      <c r="AD275" s="14"/>
      <c r="AE275" s="14"/>
      <c r="AF275" s="14"/>
    </row>
    <row r="276" customFormat="false" ht="15" hidden="false" customHeight="false" outlineLevel="0" collapsed="false">
      <c r="F276" s="173"/>
      <c r="G276" s="180"/>
      <c r="H276" s="199"/>
      <c r="I276" s="113"/>
      <c r="J276" s="199"/>
      <c r="K276" s="200"/>
      <c r="M276" s="14" t="s">
        <v>284</v>
      </c>
      <c r="N276" s="14" t="s">
        <v>285</v>
      </c>
      <c r="R276" s="36" t="s">
        <v>123</v>
      </c>
      <c r="S276" s="36" t="s">
        <v>286</v>
      </c>
      <c r="T276" s="36" t="s">
        <v>287</v>
      </c>
      <c r="U276" s="36" t="s">
        <v>288</v>
      </c>
      <c r="V276" s="36" t="s">
        <v>289</v>
      </c>
      <c r="X276" s="14" t="s">
        <v>279</v>
      </c>
      <c r="Y276" s="14" t="s">
        <v>417</v>
      </c>
      <c r="Z276" s="36" t="s">
        <v>281</v>
      </c>
      <c r="AA276" s="52" t="n">
        <v>25</v>
      </c>
      <c r="AB276" s="36" t="s">
        <v>282</v>
      </c>
      <c r="AC276" s="52" t="n">
        <f aca="false">AA276</f>
        <v>25</v>
      </c>
      <c r="AD276" s="14" t="s">
        <v>283</v>
      </c>
      <c r="AF276" s="36" t="s">
        <v>204</v>
      </c>
      <c r="AG276" s="53" t="n">
        <f aca="false">AG283+AG288+AG292</f>
        <v>447.9006688</v>
      </c>
    </row>
    <row r="277" customFormat="false" ht="15" hidden="false" customHeight="false" outlineLevel="0" collapsed="false">
      <c r="F277" s="114"/>
      <c r="G277" s="201"/>
      <c r="H277" s="183"/>
      <c r="I277" s="115"/>
      <c r="J277" s="199"/>
      <c r="K277" s="200"/>
      <c r="N277" s="54" t="s">
        <v>295</v>
      </c>
      <c r="X277" s="14" t="s">
        <v>284</v>
      </c>
      <c r="Y277" s="14" t="s">
        <v>285</v>
      </c>
      <c r="AC277" s="36" t="s">
        <v>123</v>
      </c>
      <c r="AD277" s="36" t="s">
        <v>286</v>
      </c>
      <c r="AE277" s="36" t="s">
        <v>287</v>
      </c>
      <c r="AF277" s="36" t="s">
        <v>288</v>
      </c>
      <c r="AG277" s="36" t="s">
        <v>289</v>
      </c>
    </row>
    <row r="278" customFormat="false" ht="15" hidden="false" customHeight="false" outlineLevel="0" collapsed="false">
      <c r="F278" s="116"/>
      <c r="G278" s="202"/>
      <c r="H278" s="116"/>
      <c r="I278" s="79"/>
      <c r="J278" s="203"/>
      <c r="K278" s="200"/>
      <c r="N278" s="112"/>
      <c r="R278" s="55"/>
      <c r="S278" s="56"/>
      <c r="T278" s="113"/>
      <c r="U278" s="28"/>
      <c r="V278" s="28"/>
      <c r="Y278" s="54" t="s">
        <v>290</v>
      </c>
    </row>
    <row r="279" customFormat="false" ht="15" hidden="false" customHeight="false" outlineLevel="0" collapsed="false">
      <c r="F279" s="116"/>
      <c r="G279" s="202"/>
      <c r="H279" s="116"/>
      <c r="I279" s="79"/>
      <c r="J279" s="203"/>
      <c r="K279" s="200"/>
      <c r="N279" s="112"/>
      <c r="R279" s="55"/>
      <c r="T279" s="113"/>
      <c r="U279" s="28"/>
      <c r="V279" s="28"/>
      <c r="Y279" s="1" t="s">
        <v>651</v>
      </c>
      <c r="AC279" s="55" t="s">
        <v>292</v>
      </c>
      <c r="AD279" s="56" t="n">
        <v>0.1</v>
      </c>
      <c r="AE279" s="57" t="n">
        <f aca="false">AD279*8/$AA$276</f>
        <v>0.032</v>
      </c>
      <c r="AF279" s="28" t="n">
        <v>34.73</v>
      </c>
      <c r="AG279" s="28" t="n">
        <f aca="false">AE279*AF279</f>
        <v>1.11136</v>
      </c>
    </row>
    <row r="280" customFormat="false" ht="15" hidden="false" customHeight="false" outlineLevel="0" collapsed="false">
      <c r="F280" s="116"/>
      <c r="G280" s="202"/>
      <c r="H280" s="116"/>
      <c r="I280" s="79"/>
      <c r="J280" s="203"/>
      <c r="K280" s="200"/>
      <c r="N280" s="112" t="s">
        <v>1329</v>
      </c>
      <c r="R280" s="55" t="s">
        <v>134</v>
      </c>
      <c r="S280" s="56"/>
      <c r="T280" s="113" t="n">
        <v>1</v>
      </c>
      <c r="U280" s="28" t="n">
        <f aca="false">AG74</f>
        <v>7.930344</v>
      </c>
      <c r="V280" s="28" t="n">
        <f aca="false">T280*U280</f>
        <v>7.930344</v>
      </c>
      <c r="Y280" s="1" t="s">
        <v>291</v>
      </c>
      <c r="AC280" s="55" t="s">
        <v>292</v>
      </c>
      <c r="AD280" s="56" t="n">
        <v>2</v>
      </c>
      <c r="AE280" s="57" t="n">
        <f aca="false">AD280*8/$AA$276</f>
        <v>0.64</v>
      </c>
      <c r="AF280" s="28" t="n">
        <v>28.94</v>
      </c>
      <c r="AG280" s="28" t="n">
        <f aca="false">AE280*AF280</f>
        <v>18.5216</v>
      </c>
    </row>
    <row r="281" customFormat="false" ht="15" hidden="false" customHeight="false" outlineLevel="0" collapsed="false">
      <c r="F281" s="116"/>
      <c r="G281" s="202"/>
      <c r="H281" s="116"/>
      <c r="I281" s="79"/>
      <c r="J281" s="203"/>
      <c r="K281" s="200"/>
      <c r="N281" s="114" t="s">
        <v>1331</v>
      </c>
      <c r="R281" s="55" t="s">
        <v>134</v>
      </c>
      <c r="S281" s="56"/>
      <c r="T281" s="115" t="n">
        <v>0.33</v>
      </c>
      <c r="U281" s="28" t="n">
        <f aca="false">AG89</f>
        <v>77.2277048</v>
      </c>
      <c r="V281" s="28" t="n">
        <f aca="false">T281*U281</f>
        <v>25.485142584</v>
      </c>
      <c r="Y281" s="1" t="s">
        <v>293</v>
      </c>
      <c r="AC281" s="55" t="s">
        <v>292</v>
      </c>
      <c r="AD281" s="56" t="n">
        <v>1</v>
      </c>
      <c r="AE281" s="57" t="n">
        <f aca="false">AD281*8/$AA$276</f>
        <v>0.32</v>
      </c>
      <c r="AF281" s="28" t="n">
        <v>22.66</v>
      </c>
      <c r="AG281" s="28" t="n">
        <f aca="false">AE281*AF281</f>
        <v>7.2512</v>
      </c>
    </row>
    <row r="282" customFormat="false" ht="15" hidden="false" customHeight="false" outlineLevel="0" collapsed="false">
      <c r="F282" s="116"/>
      <c r="G282" s="202"/>
      <c r="H282" s="116"/>
      <c r="I282" s="79"/>
      <c r="J282" s="203"/>
      <c r="K282" s="200"/>
      <c r="N282" s="116" t="s">
        <v>621</v>
      </c>
      <c r="R282" s="55" t="s">
        <v>134</v>
      </c>
      <c r="S282" s="56"/>
      <c r="T282" s="79" t="n">
        <v>0.12</v>
      </c>
      <c r="U282" s="28" t="n">
        <f aca="false">AG276</f>
        <v>447.9006688</v>
      </c>
      <c r="V282" s="28" t="n">
        <f aca="false">T282*U282</f>
        <v>53.748080256</v>
      </c>
      <c r="Y282" s="1" t="s">
        <v>294</v>
      </c>
      <c r="AC282" s="55" t="s">
        <v>292</v>
      </c>
      <c r="AD282" s="56" t="n">
        <v>4</v>
      </c>
      <c r="AE282" s="57" t="n">
        <f aca="false">AD282*8/$AA$276</f>
        <v>1.28</v>
      </c>
      <c r="AF282" s="28" t="n">
        <v>20.51</v>
      </c>
      <c r="AG282" s="28" t="n">
        <f aca="false">AE282*AF282</f>
        <v>26.2528</v>
      </c>
    </row>
    <row r="283" customFormat="false" ht="15" hidden="false" customHeight="false" outlineLevel="0" collapsed="false">
      <c r="F283" s="116"/>
      <c r="G283" s="202"/>
      <c r="H283" s="116"/>
      <c r="I283" s="79"/>
      <c r="J283" s="203"/>
      <c r="K283" s="200"/>
      <c r="N283" s="116" t="s">
        <v>623</v>
      </c>
      <c r="R283" s="55" t="s">
        <v>204</v>
      </c>
      <c r="S283" s="56"/>
      <c r="T283" s="79" t="n">
        <v>0.014</v>
      </c>
      <c r="U283" s="28" t="n">
        <f aca="false">AG295</f>
        <v>447.9006688</v>
      </c>
      <c r="V283" s="28" t="n">
        <f aca="false">T283*U283</f>
        <v>6.2706093632</v>
      </c>
      <c r="AG283" s="53" t="n">
        <f aca="false">SUM(AG279:AG282)</f>
        <v>53.13696</v>
      </c>
    </row>
    <row r="284" customFormat="false" ht="15" hidden="false" customHeight="false" outlineLevel="0" collapsed="false">
      <c r="F284" s="116"/>
      <c r="G284" s="202"/>
      <c r="H284" s="116"/>
      <c r="I284" s="79"/>
      <c r="J284" s="203"/>
      <c r="K284" s="200"/>
      <c r="N284" s="116" t="s">
        <v>598</v>
      </c>
      <c r="R284" s="55" t="s">
        <v>134</v>
      </c>
      <c r="S284" s="56"/>
      <c r="T284" s="79" t="n">
        <v>0.2</v>
      </c>
      <c r="U284" s="28" t="n">
        <f aca="false">AG144</f>
        <v>118.0135648</v>
      </c>
      <c r="V284" s="28" t="n">
        <f aca="false">T284*U284</f>
        <v>23.60271296</v>
      </c>
      <c r="Y284" s="54" t="s">
        <v>295</v>
      </c>
    </row>
    <row r="285" customFormat="false" ht="15" hidden="false" customHeight="false" outlineLevel="0" collapsed="false">
      <c r="N285" s="116" t="s">
        <v>602</v>
      </c>
      <c r="R285" s="55" t="s">
        <v>134</v>
      </c>
      <c r="S285" s="56"/>
      <c r="T285" s="79" t="n">
        <v>1</v>
      </c>
      <c r="U285" s="28" t="n">
        <f aca="false">AG170</f>
        <v>2.9418736</v>
      </c>
      <c r="V285" s="28" t="n">
        <f aca="false">T285*U285</f>
        <v>2.9418736</v>
      </c>
      <c r="Y285" s="1" t="s">
        <v>722</v>
      </c>
      <c r="AB285" s="1" t="s">
        <v>297</v>
      </c>
      <c r="AE285" s="57" t="n">
        <v>0.1</v>
      </c>
      <c r="AF285" s="28" t="n">
        <v>24.52</v>
      </c>
      <c r="AG285" s="28" t="n">
        <f aca="false">AE285*AF285</f>
        <v>2.452</v>
      </c>
    </row>
    <row r="286" customFormat="false" ht="15" hidden="false" customHeight="false" outlineLevel="0" collapsed="false">
      <c r="N286" s="116" t="s">
        <v>841</v>
      </c>
      <c r="R286" s="55" t="s">
        <v>134</v>
      </c>
      <c r="S286" s="56"/>
      <c r="T286" s="79" t="n">
        <v>1</v>
      </c>
      <c r="U286" s="28" t="n">
        <f aca="false">AG314</f>
        <v>9.880996</v>
      </c>
      <c r="V286" s="28" t="n">
        <f aca="false">T286*U286</f>
        <v>9.880996</v>
      </c>
      <c r="Y286" s="1" t="s">
        <v>733</v>
      </c>
      <c r="AB286" s="1" t="s">
        <v>297</v>
      </c>
      <c r="AE286" s="57" t="n">
        <v>1.05</v>
      </c>
      <c r="AF286" s="28" t="n">
        <v>340</v>
      </c>
      <c r="AG286" s="28" t="n">
        <f aca="false">AE286*AF286</f>
        <v>357</v>
      </c>
    </row>
    <row r="287" customFormat="false" ht="15" hidden="false" customHeight="false" outlineLevel="0" collapsed="false">
      <c r="N287" s="116" t="s">
        <v>604</v>
      </c>
      <c r="R287" s="55" t="s">
        <v>145</v>
      </c>
      <c r="S287" s="56"/>
      <c r="T287" s="79" t="n">
        <v>0.1607</v>
      </c>
      <c r="U287" s="28" t="n">
        <f aca="false">AG183</f>
        <v>19.2386832</v>
      </c>
      <c r="V287" s="28" t="n">
        <f aca="false">T287*U287</f>
        <v>3.09165639024</v>
      </c>
      <c r="Y287" s="1" t="s">
        <v>724</v>
      </c>
      <c r="AB287" s="1" t="s">
        <v>306</v>
      </c>
      <c r="AE287" s="57" t="n">
        <v>1.05</v>
      </c>
      <c r="AF287" s="28" t="n">
        <v>30</v>
      </c>
      <c r="AG287" s="28" t="n">
        <f aca="false">AE287*AF287</f>
        <v>31.5</v>
      </c>
    </row>
    <row r="288" customFormat="false" ht="15" hidden="false" customHeight="false" outlineLevel="0" collapsed="false">
      <c r="N288" s="116" t="s">
        <v>606</v>
      </c>
      <c r="R288" s="55" t="s">
        <v>145</v>
      </c>
      <c r="S288" s="56"/>
      <c r="T288" s="79" t="n">
        <v>0.1889</v>
      </c>
      <c r="U288" s="28" t="n">
        <f aca="false">AG198</f>
        <v>19.2386832</v>
      </c>
      <c r="V288" s="28" t="n">
        <f aca="false">T288*U288</f>
        <v>3.63418725648</v>
      </c>
      <c r="AG288" s="53" t="n">
        <f aca="false">SUM(AG285:AG287)</f>
        <v>390.952</v>
      </c>
    </row>
    <row r="289" customFormat="false" ht="15" hidden="false" customHeight="false" outlineLevel="0" collapsed="false">
      <c r="M289" s="60"/>
      <c r="N289" s="60"/>
      <c r="O289" s="60"/>
      <c r="P289" s="60"/>
      <c r="Q289" s="60"/>
      <c r="R289" s="60"/>
      <c r="S289" s="60"/>
      <c r="T289" s="60"/>
      <c r="U289" s="60"/>
      <c r="V289" s="61" t="n">
        <f aca="false">SUM(V278:V288)</f>
        <v>136.58560240992</v>
      </c>
      <c r="Y289" s="54" t="s">
        <v>318</v>
      </c>
    </row>
    <row r="290" customFormat="false" ht="15" hidden="false" customHeight="false" outlineLevel="0" collapsed="false">
      <c r="R290" s="55"/>
      <c r="S290" s="56"/>
      <c r="T290" s="57"/>
      <c r="U290" s="28"/>
      <c r="V290" s="28"/>
      <c r="Y290" s="1" t="s">
        <v>311</v>
      </c>
      <c r="AC290" s="55" t="s">
        <v>312</v>
      </c>
      <c r="AE290" s="57" t="n">
        <v>3</v>
      </c>
      <c r="AF290" s="28" t="n">
        <f aca="false">AG283</f>
        <v>53.13696</v>
      </c>
      <c r="AG290" s="28" t="n">
        <f aca="false">AE290%*AF290</f>
        <v>1.5941088</v>
      </c>
    </row>
    <row r="291" customFormat="false" ht="15" hidden="false" customHeight="false" outlineLevel="0" collapsed="false">
      <c r="R291" s="55"/>
      <c r="S291" s="56"/>
      <c r="T291" s="57"/>
      <c r="U291" s="28"/>
      <c r="V291" s="28"/>
      <c r="Y291" s="1" t="s">
        <v>725</v>
      </c>
      <c r="AC291" s="55" t="s">
        <v>338</v>
      </c>
      <c r="AD291" s="56" t="n">
        <v>1</v>
      </c>
      <c r="AE291" s="57" t="n">
        <f aca="false">AD291*8/$AA$276</f>
        <v>0.32</v>
      </c>
      <c r="AF291" s="28" t="n">
        <v>6.93</v>
      </c>
      <c r="AG291" s="28" t="n">
        <f aca="false">AE291*AF291</f>
        <v>2.2176</v>
      </c>
    </row>
    <row r="292" customFormat="false" ht="15" hidden="false" customHeight="false" outlineLevel="0" collapsed="false">
      <c r="R292" s="55"/>
      <c r="S292" s="56"/>
      <c r="T292" s="57"/>
      <c r="U292" s="28"/>
      <c r="V292" s="28"/>
      <c r="X292" s="60"/>
      <c r="Y292" s="60"/>
      <c r="Z292" s="60"/>
      <c r="AA292" s="60"/>
      <c r="AB292" s="60"/>
      <c r="AC292" s="60"/>
      <c r="AD292" s="60"/>
      <c r="AE292" s="60"/>
      <c r="AF292" s="60"/>
      <c r="AG292" s="61" t="n">
        <f aca="false">SUM(AG290:AG291)</f>
        <v>3.8117088</v>
      </c>
    </row>
    <row r="293" customFormat="false" ht="15" hidden="false" customHeight="false" outlineLevel="0" collapsed="false">
      <c r="R293" s="55"/>
      <c r="S293" s="56"/>
      <c r="T293" s="57"/>
      <c r="U293" s="28"/>
      <c r="V293" s="28"/>
      <c r="AC293" s="55"/>
      <c r="AE293" s="57"/>
      <c r="AF293" s="28"/>
      <c r="AG293" s="28"/>
    </row>
    <row r="294" customFormat="false" ht="15" hidden="false" customHeight="false" outlineLevel="0" collapsed="false">
      <c r="R294" s="55"/>
      <c r="S294" s="56"/>
      <c r="T294" s="57"/>
      <c r="U294" s="28"/>
      <c r="V294" s="28"/>
      <c r="X294" s="14" t="s">
        <v>1324</v>
      </c>
      <c r="Y294" s="14"/>
      <c r="Z294" s="14" t="s">
        <v>623</v>
      </c>
      <c r="AA294" s="14"/>
      <c r="AB294" s="14"/>
      <c r="AC294" s="14"/>
      <c r="AD294" s="14"/>
      <c r="AE294" s="14"/>
      <c r="AF294" s="14"/>
    </row>
    <row r="295" customFormat="false" ht="15" hidden="false" customHeight="false" outlineLevel="0" collapsed="false">
      <c r="R295" s="55"/>
      <c r="S295" s="56"/>
      <c r="T295" s="57"/>
      <c r="U295" s="28"/>
      <c r="V295" s="28"/>
      <c r="X295" s="14" t="s">
        <v>279</v>
      </c>
      <c r="Y295" s="14" t="s">
        <v>417</v>
      </c>
      <c r="Z295" s="36" t="s">
        <v>281</v>
      </c>
      <c r="AA295" s="52" t="n">
        <v>25</v>
      </c>
      <c r="AB295" s="36" t="s">
        <v>282</v>
      </c>
      <c r="AC295" s="52" t="n">
        <f aca="false">AA295</f>
        <v>25</v>
      </c>
      <c r="AD295" s="14" t="s">
        <v>283</v>
      </c>
      <c r="AF295" s="36" t="s">
        <v>204</v>
      </c>
      <c r="AG295" s="53" t="n">
        <f aca="false">AG302+AG307+AG311</f>
        <v>447.9006688</v>
      </c>
    </row>
    <row r="296" customFormat="false" ht="15" hidden="false" customHeight="false" outlineLevel="0" collapsed="false">
      <c r="R296" s="55"/>
      <c r="S296" s="56"/>
      <c r="T296" s="57"/>
      <c r="U296" s="28"/>
      <c r="V296" s="28"/>
      <c r="X296" s="14" t="s">
        <v>284</v>
      </c>
      <c r="Y296" s="14" t="s">
        <v>285</v>
      </c>
      <c r="AC296" s="36" t="s">
        <v>123</v>
      </c>
      <c r="AD296" s="36" t="s">
        <v>286</v>
      </c>
      <c r="AE296" s="36" t="s">
        <v>287</v>
      </c>
      <c r="AF296" s="36" t="s">
        <v>288</v>
      </c>
      <c r="AG296" s="36" t="s">
        <v>289</v>
      </c>
    </row>
    <row r="297" customFormat="false" ht="15" hidden="false" customHeight="false" outlineLevel="0" collapsed="false">
      <c r="R297" s="55"/>
      <c r="S297" s="56"/>
      <c r="T297" s="57"/>
      <c r="U297" s="28"/>
      <c r="V297" s="28"/>
      <c r="Y297" s="54" t="s">
        <v>290</v>
      </c>
    </row>
    <row r="298" customFormat="false" ht="15" hidden="false" customHeight="false" outlineLevel="0" collapsed="false">
      <c r="R298" s="55"/>
      <c r="S298" s="56"/>
      <c r="T298" s="57"/>
      <c r="U298" s="28"/>
      <c r="V298" s="28"/>
      <c r="Y298" s="1" t="s">
        <v>651</v>
      </c>
      <c r="AC298" s="55" t="s">
        <v>292</v>
      </c>
      <c r="AD298" s="56" t="n">
        <v>0.1</v>
      </c>
      <c r="AE298" s="57" t="n">
        <f aca="false">AD298*8/$AA$295</f>
        <v>0.032</v>
      </c>
      <c r="AF298" s="28" t="n">
        <v>34.73</v>
      </c>
      <c r="AG298" s="28" t="n">
        <f aca="false">AE298*AF298</f>
        <v>1.11136</v>
      </c>
    </row>
    <row r="299" customFormat="false" ht="15" hidden="false" customHeight="false" outlineLevel="0" collapsed="false">
      <c r="R299" s="55"/>
      <c r="S299" s="56"/>
      <c r="T299" s="57"/>
      <c r="U299" s="28"/>
      <c r="V299" s="28"/>
      <c r="Y299" s="1" t="s">
        <v>291</v>
      </c>
      <c r="AC299" s="55" t="s">
        <v>292</v>
      </c>
      <c r="AD299" s="56" t="n">
        <v>2</v>
      </c>
      <c r="AE299" s="57" t="n">
        <f aca="false">AD299*8/$AA$295</f>
        <v>0.64</v>
      </c>
      <c r="AF299" s="28" t="n">
        <v>28.94</v>
      </c>
      <c r="AG299" s="28" t="n">
        <f aca="false">AE299*AF299</f>
        <v>18.5216</v>
      </c>
    </row>
    <row r="300" customFormat="false" ht="15" hidden="false" customHeight="false" outlineLevel="0" collapsed="false">
      <c r="R300" s="55"/>
      <c r="S300" s="56"/>
      <c r="T300" s="57"/>
      <c r="U300" s="28"/>
      <c r="V300" s="28"/>
      <c r="Y300" s="1" t="s">
        <v>293</v>
      </c>
      <c r="AC300" s="55" t="s">
        <v>292</v>
      </c>
      <c r="AD300" s="56" t="n">
        <v>1</v>
      </c>
      <c r="AE300" s="57" t="n">
        <f aca="false">AD300*8/$AA$295</f>
        <v>0.32</v>
      </c>
      <c r="AF300" s="28" t="n">
        <v>22.66</v>
      </c>
      <c r="AG300" s="28" t="n">
        <f aca="false">AE300*AF300</f>
        <v>7.2512</v>
      </c>
    </row>
    <row r="301" customFormat="false" ht="15" hidden="false" customHeight="false" outlineLevel="0" collapsed="false">
      <c r="R301" s="55"/>
      <c r="S301" s="56"/>
      <c r="T301" s="57"/>
      <c r="U301" s="28"/>
      <c r="V301" s="28"/>
      <c r="Y301" s="1" t="s">
        <v>294</v>
      </c>
      <c r="AC301" s="55" t="s">
        <v>292</v>
      </c>
      <c r="AD301" s="56" t="n">
        <v>4</v>
      </c>
      <c r="AE301" s="57" t="n">
        <f aca="false">AD301*8/$AA$295</f>
        <v>1.28</v>
      </c>
      <c r="AF301" s="28" t="n">
        <v>20.51</v>
      </c>
      <c r="AG301" s="28" t="n">
        <f aca="false">AE301*AF301</f>
        <v>26.2528</v>
      </c>
    </row>
    <row r="302" customFormat="false" ht="15" hidden="false" customHeight="false" outlineLevel="0" collapsed="false">
      <c r="R302" s="55"/>
      <c r="S302" s="56"/>
      <c r="T302" s="57"/>
      <c r="U302" s="28"/>
      <c r="V302" s="28"/>
      <c r="AG302" s="53" t="n">
        <f aca="false">SUM(AG298:AG301)</f>
        <v>53.13696</v>
      </c>
    </row>
    <row r="303" customFormat="false" ht="15" hidden="false" customHeight="false" outlineLevel="0" collapsed="false">
      <c r="R303" s="55"/>
      <c r="S303" s="56"/>
      <c r="T303" s="57"/>
      <c r="U303" s="28"/>
      <c r="V303" s="28"/>
      <c r="Y303" s="54" t="s">
        <v>295</v>
      </c>
    </row>
    <row r="304" customFormat="false" ht="15" hidden="false" customHeight="false" outlineLevel="0" collapsed="false">
      <c r="R304" s="55"/>
      <c r="S304" s="56"/>
      <c r="T304" s="57"/>
      <c r="U304" s="28"/>
      <c r="V304" s="28"/>
      <c r="Y304" s="1" t="s">
        <v>722</v>
      </c>
      <c r="AB304" s="1" t="s">
        <v>297</v>
      </c>
      <c r="AE304" s="57" t="n">
        <v>0.1</v>
      </c>
      <c r="AF304" s="28" t="n">
        <v>24.52</v>
      </c>
      <c r="AG304" s="28" t="n">
        <f aca="false">AE304*AF304</f>
        <v>2.452</v>
      </c>
    </row>
    <row r="305" customFormat="false" ht="15" hidden="false" customHeight="false" outlineLevel="0" collapsed="false">
      <c r="R305" s="55"/>
      <c r="S305" s="56"/>
      <c r="T305" s="57"/>
      <c r="U305" s="28"/>
      <c r="V305" s="28"/>
      <c r="Y305" s="1" t="s">
        <v>733</v>
      </c>
      <c r="AB305" s="1" t="s">
        <v>297</v>
      </c>
      <c r="AE305" s="57" t="n">
        <v>1.05</v>
      </c>
      <c r="AF305" s="28" t="n">
        <v>340</v>
      </c>
      <c r="AG305" s="28" t="n">
        <f aca="false">AE305*AF305</f>
        <v>357</v>
      </c>
    </row>
    <row r="306" customFormat="false" ht="15" hidden="false" customHeight="false" outlineLevel="0" collapsed="false">
      <c r="R306" s="55"/>
      <c r="S306" s="56"/>
      <c r="T306" s="57"/>
      <c r="U306" s="28"/>
      <c r="V306" s="28"/>
      <c r="Y306" s="1" t="s">
        <v>724</v>
      </c>
      <c r="AB306" s="1" t="s">
        <v>306</v>
      </c>
      <c r="AE306" s="57" t="n">
        <v>1.05</v>
      </c>
      <c r="AF306" s="28" t="n">
        <v>30</v>
      </c>
      <c r="AG306" s="28" t="n">
        <f aca="false">AE306*AF306</f>
        <v>31.5</v>
      </c>
    </row>
    <row r="307" customFormat="false" ht="15" hidden="false" customHeight="false" outlineLevel="0" collapsed="false">
      <c r="R307" s="55"/>
      <c r="S307" s="56"/>
      <c r="T307" s="57"/>
      <c r="U307" s="28"/>
      <c r="V307" s="28"/>
      <c r="AG307" s="53" t="n">
        <f aca="false">SUM(AG304:AG306)</f>
        <v>390.952</v>
      </c>
    </row>
    <row r="308" customFormat="false" ht="15" hidden="false" customHeight="false" outlineLevel="0" collapsed="false">
      <c r="R308" s="55"/>
      <c r="S308" s="56"/>
      <c r="T308" s="57"/>
      <c r="U308" s="28"/>
      <c r="V308" s="28"/>
      <c r="Y308" s="54" t="s">
        <v>318</v>
      </c>
    </row>
    <row r="309" customFormat="false" ht="15" hidden="false" customHeight="false" outlineLevel="0" collapsed="false">
      <c r="R309" s="55"/>
      <c r="S309" s="56"/>
      <c r="T309" s="57"/>
      <c r="U309" s="28"/>
      <c r="V309" s="28"/>
      <c r="Y309" s="1" t="s">
        <v>311</v>
      </c>
      <c r="AC309" s="55" t="s">
        <v>312</v>
      </c>
      <c r="AE309" s="57" t="n">
        <v>3</v>
      </c>
      <c r="AF309" s="28" t="n">
        <f aca="false">AG302</f>
        <v>53.13696</v>
      </c>
      <c r="AG309" s="28" t="n">
        <f aca="false">AE309%*AF309</f>
        <v>1.5941088</v>
      </c>
    </row>
    <row r="310" customFormat="false" ht="15" hidden="false" customHeight="false" outlineLevel="0" collapsed="false">
      <c r="R310" s="55"/>
      <c r="S310" s="56"/>
      <c r="T310" s="57"/>
      <c r="U310" s="28"/>
      <c r="V310" s="28"/>
      <c r="Y310" s="1" t="s">
        <v>725</v>
      </c>
      <c r="AC310" s="55" t="s">
        <v>338</v>
      </c>
      <c r="AD310" s="56" t="n">
        <v>1</v>
      </c>
      <c r="AE310" s="57" t="n">
        <f aca="false">AD310*8/$AA$295</f>
        <v>0.32</v>
      </c>
      <c r="AF310" s="28" t="n">
        <v>6.93</v>
      </c>
      <c r="AG310" s="28" t="n">
        <f aca="false">AE310*AF310</f>
        <v>2.2176</v>
      </c>
    </row>
    <row r="311" customFormat="false" ht="15" hidden="false" customHeight="false" outlineLevel="0" collapsed="false">
      <c r="R311" s="55"/>
      <c r="S311" s="56"/>
      <c r="T311" s="57"/>
      <c r="U311" s="28"/>
      <c r="V311" s="28"/>
      <c r="X311" s="60"/>
      <c r="Y311" s="60"/>
      <c r="Z311" s="60"/>
      <c r="AA311" s="60"/>
      <c r="AB311" s="60"/>
      <c r="AC311" s="60"/>
      <c r="AD311" s="60"/>
      <c r="AE311" s="60"/>
      <c r="AF311" s="60"/>
      <c r="AG311" s="61" t="n">
        <f aca="false">SUM(AG309:AG310)</f>
        <v>3.8117088</v>
      </c>
    </row>
    <row r="312" customFormat="false" ht="15" hidden="false" customHeight="false" outlineLevel="0" collapsed="false">
      <c r="R312" s="55"/>
      <c r="S312" s="56"/>
      <c r="T312" s="57"/>
      <c r="U312" s="28"/>
      <c r="V312" s="28"/>
      <c r="AC312" s="55"/>
      <c r="AE312" s="57"/>
      <c r="AF312" s="28"/>
      <c r="AG312" s="28"/>
    </row>
    <row r="313" customFormat="false" ht="15" hidden="false" customHeight="false" outlineLevel="0" collapsed="false">
      <c r="R313" s="55"/>
      <c r="S313" s="56"/>
      <c r="T313" s="57"/>
      <c r="U313" s="28"/>
      <c r="V313" s="28"/>
      <c r="X313" s="14" t="s">
        <v>1324</v>
      </c>
      <c r="Y313" s="14"/>
      <c r="Z313" s="14" t="s">
        <v>841</v>
      </c>
      <c r="AA313" s="14"/>
      <c r="AB313" s="14"/>
      <c r="AC313" s="14"/>
      <c r="AD313" s="14"/>
      <c r="AE313" s="14"/>
      <c r="AF313" s="14"/>
    </row>
    <row r="314" customFormat="false" ht="15" hidden="false" customHeight="false" outlineLevel="0" collapsed="false">
      <c r="R314" s="55"/>
      <c r="S314" s="56"/>
      <c r="T314" s="57"/>
      <c r="U314" s="28"/>
      <c r="V314" s="28"/>
      <c r="X314" s="14" t="s">
        <v>279</v>
      </c>
      <c r="Y314" s="14" t="s">
        <v>280</v>
      </c>
      <c r="Z314" s="36" t="s">
        <v>281</v>
      </c>
      <c r="AA314" s="52" t="n">
        <v>20</v>
      </c>
      <c r="AB314" s="36" t="s">
        <v>282</v>
      </c>
      <c r="AC314" s="52" t="n">
        <f aca="false">AA314</f>
        <v>20</v>
      </c>
      <c r="AD314" s="14" t="s">
        <v>283</v>
      </c>
      <c r="AF314" s="36" t="s">
        <v>134</v>
      </c>
      <c r="AG314" s="53" t="n">
        <f aca="false">AG319+AG322</f>
        <v>9.880996</v>
      </c>
    </row>
    <row r="315" customFormat="false" ht="15" hidden="false" customHeight="false" outlineLevel="0" collapsed="false">
      <c r="R315" s="55"/>
      <c r="S315" s="56"/>
      <c r="T315" s="57"/>
      <c r="U315" s="28"/>
      <c r="V315" s="28"/>
      <c r="X315" s="14" t="s">
        <v>284</v>
      </c>
      <c r="Y315" s="14" t="s">
        <v>285</v>
      </c>
      <c r="AC315" s="36" t="s">
        <v>123</v>
      </c>
      <c r="AD315" s="36" t="s">
        <v>286</v>
      </c>
      <c r="AE315" s="36" t="s">
        <v>287</v>
      </c>
      <c r="AF315" s="36" t="s">
        <v>288</v>
      </c>
      <c r="AG315" s="36" t="s">
        <v>289</v>
      </c>
    </row>
    <row r="316" customFormat="false" ht="15" hidden="false" customHeight="false" outlineLevel="0" collapsed="false">
      <c r="R316" s="55"/>
      <c r="S316" s="56"/>
      <c r="T316" s="57"/>
      <c r="U316" s="28"/>
      <c r="V316" s="28"/>
      <c r="Y316" s="54" t="s">
        <v>290</v>
      </c>
    </row>
    <row r="317" customFormat="false" ht="15" hidden="false" customHeight="false" outlineLevel="0" collapsed="false">
      <c r="R317" s="55"/>
      <c r="S317" s="56"/>
      <c r="T317" s="57"/>
      <c r="U317" s="28"/>
      <c r="V317" s="28"/>
      <c r="Y317" s="1" t="s">
        <v>651</v>
      </c>
      <c r="AC317" s="55" t="s">
        <v>292</v>
      </c>
      <c r="AD317" s="56" t="n">
        <v>0.1</v>
      </c>
      <c r="AE317" s="57" t="n">
        <f aca="false">AD317*8/$AA$314</f>
        <v>0.04</v>
      </c>
      <c r="AF317" s="28" t="n">
        <v>34.73</v>
      </c>
      <c r="AG317" s="28" t="n">
        <f aca="false">AE317*AF317</f>
        <v>1.3892</v>
      </c>
    </row>
    <row r="318" customFormat="false" ht="15" hidden="false" customHeight="false" outlineLevel="0" collapsed="false">
      <c r="R318" s="55"/>
      <c r="S318" s="56"/>
      <c r="T318" s="57"/>
      <c r="U318" s="28"/>
      <c r="V318" s="28"/>
      <c r="Y318" s="1" t="s">
        <v>294</v>
      </c>
      <c r="AC318" s="55" t="s">
        <v>292</v>
      </c>
      <c r="AD318" s="56" t="n">
        <v>1</v>
      </c>
      <c r="AE318" s="57" t="n">
        <f aca="false">AD318*8/$AA$314</f>
        <v>0.4</v>
      </c>
      <c r="AF318" s="28" t="n">
        <v>20.51</v>
      </c>
      <c r="AG318" s="28" t="n">
        <f aca="false">AE318*AF318</f>
        <v>8.204</v>
      </c>
    </row>
    <row r="319" customFormat="false" ht="15" hidden="false" customHeight="false" outlineLevel="0" collapsed="false">
      <c r="R319" s="55"/>
      <c r="S319" s="56"/>
      <c r="T319" s="57"/>
      <c r="U319" s="28"/>
      <c r="V319" s="28"/>
      <c r="AG319" s="53" t="n">
        <f aca="false">SUM(AG317:AG318)</f>
        <v>9.5932</v>
      </c>
    </row>
    <row r="320" customFormat="false" ht="15" hidden="false" customHeight="false" outlineLevel="0" collapsed="false">
      <c r="R320" s="55"/>
      <c r="S320" s="56"/>
      <c r="T320" s="57"/>
      <c r="U320" s="28"/>
      <c r="V320" s="28"/>
      <c r="Y320" s="54" t="s">
        <v>318</v>
      </c>
    </row>
    <row r="321" customFormat="false" ht="15" hidden="false" customHeight="false" outlineLevel="0" collapsed="false">
      <c r="R321" s="55"/>
      <c r="S321" s="56"/>
      <c r="T321" s="57"/>
      <c r="U321" s="28"/>
      <c r="V321" s="28"/>
      <c r="Y321" s="1" t="s">
        <v>311</v>
      </c>
      <c r="AC321" s="55" t="s">
        <v>312</v>
      </c>
      <c r="AE321" s="57" t="n">
        <v>3</v>
      </c>
      <c r="AF321" s="28" t="n">
        <f aca="false">AG319</f>
        <v>9.5932</v>
      </c>
      <c r="AG321" s="28" t="n">
        <f aca="false">AE321%*AF321</f>
        <v>0.287796</v>
      </c>
    </row>
    <row r="322" customFormat="false" ht="15" hidden="false" customHeight="false" outlineLevel="0" collapsed="false">
      <c r="R322" s="55"/>
      <c r="S322" s="56"/>
      <c r="T322" s="57"/>
      <c r="U322" s="28"/>
      <c r="V322" s="28"/>
      <c r="X322" s="60"/>
      <c r="Y322" s="60"/>
      <c r="Z322" s="60"/>
      <c r="AA322" s="60"/>
      <c r="AB322" s="60"/>
      <c r="AC322" s="60"/>
      <c r="AD322" s="60"/>
      <c r="AE322" s="60"/>
      <c r="AF322" s="60"/>
      <c r="AG322" s="61" t="n">
        <f aca="false">SUM(AG321)</f>
        <v>0.287796</v>
      </c>
    </row>
    <row r="323" customFormat="false" ht="15" hidden="false" customHeight="false" outlineLevel="0" collapsed="false">
      <c r="R323" s="55"/>
      <c r="S323" s="56"/>
      <c r="T323" s="57"/>
      <c r="U323" s="28"/>
      <c r="V323" s="28"/>
    </row>
    <row r="324" customFormat="false" ht="15" hidden="false" customHeight="false" outlineLevel="0" collapsed="false">
      <c r="M324" s="14" t="s">
        <v>278</v>
      </c>
      <c r="N324" s="14"/>
      <c r="O324" s="14" t="s">
        <v>1357</v>
      </c>
      <c r="P324" s="14"/>
      <c r="Q324" s="14"/>
      <c r="R324" s="14"/>
      <c r="S324" s="14"/>
      <c r="T324" s="14"/>
      <c r="U324" s="14"/>
      <c r="X324" s="14" t="s">
        <v>1358</v>
      </c>
      <c r="Y324" s="14"/>
      <c r="Z324" s="14" t="s">
        <v>844</v>
      </c>
      <c r="AA324" s="14"/>
      <c r="AB324" s="14"/>
      <c r="AC324" s="14"/>
      <c r="AD324" s="14"/>
      <c r="AE324" s="14"/>
      <c r="AF324" s="14"/>
    </row>
    <row r="325" customFormat="false" ht="15" hidden="false" customHeight="false" outlineLevel="0" collapsed="false">
      <c r="M325" s="14" t="s">
        <v>279</v>
      </c>
      <c r="N325" s="14" t="s">
        <v>280</v>
      </c>
      <c r="O325" s="36" t="s">
        <v>281</v>
      </c>
      <c r="P325" s="52" t="n">
        <v>1</v>
      </c>
      <c r="Q325" s="36" t="s">
        <v>282</v>
      </c>
      <c r="R325" s="52" t="n">
        <f aca="false">P325</f>
        <v>1</v>
      </c>
      <c r="S325" s="14" t="s">
        <v>283</v>
      </c>
      <c r="U325" s="36" t="s">
        <v>134</v>
      </c>
      <c r="V325" s="53" t="n">
        <f aca="false">V338</f>
        <v>171.725839133337</v>
      </c>
      <c r="X325" s="14" t="s">
        <v>279</v>
      </c>
      <c r="Y325" s="14" t="s">
        <v>332</v>
      </c>
      <c r="Z325" s="36" t="s">
        <v>281</v>
      </c>
      <c r="AA325" s="52" t="n">
        <v>1</v>
      </c>
      <c r="AB325" s="36" t="s">
        <v>282</v>
      </c>
      <c r="AC325" s="52" t="n">
        <f aca="false">AA325</f>
        <v>1</v>
      </c>
      <c r="AD325" s="14" t="s">
        <v>283</v>
      </c>
      <c r="AF325" s="36" t="s">
        <v>155</v>
      </c>
      <c r="AG325" s="53" t="n">
        <f aca="false">AG329</f>
        <v>22</v>
      </c>
    </row>
    <row r="326" customFormat="false" ht="15" hidden="false" customHeight="false" outlineLevel="0" collapsed="false">
      <c r="M326" s="14" t="s">
        <v>284</v>
      </c>
      <c r="N326" s="14" t="s">
        <v>285</v>
      </c>
      <c r="R326" s="36" t="s">
        <v>123</v>
      </c>
      <c r="S326" s="36" t="s">
        <v>286</v>
      </c>
      <c r="T326" s="36" t="s">
        <v>287</v>
      </c>
      <c r="U326" s="36" t="s">
        <v>288</v>
      </c>
      <c r="V326" s="36" t="s">
        <v>289</v>
      </c>
      <c r="X326" s="14" t="s">
        <v>284</v>
      </c>
      <c r="Y326" s="14" t="s">
        <v>285</v>
      </c>
      <c r="AC326" s="36" t="s">
        <v>123</v>
      </c>
      <c r="AD326" s="36" t="s">
        <v>286</v>
      </c>
      <c r="AE326" s="36" t="s">
        <v>287</v>
      </c>
      <c r="AF326" s="36" t="s">
        <v>288</v>
      </c>
      <c r="AG326" s="36" t="s">
        <v>289</v>
      </c>
    </row>
    <row r="327" customFormat="false" ht="15" hidden="false" customHeight="false" outlineLevel="0" collapsed="false">
      <c r="N327" s="54" t="s">
        <v>295</v>
      </c>
      <c r="Y327" s="54" t="s">
        <v>295</v>
      </c>
    </row>
    <row r="328" customFormat="false" ht="15" hidden="false" customHeight="false" outlineLevel="0" collapsed="false">
      <c r="L328" s="117"/>
      <c r="N328" s="117"/>
      <c r="R328" s="55"/>
      <c r="S328" s="56"/>
      <c r="T328" s="185"/>
      <c r="U328" s="28"/>
      <c r="V328" s="28"/>
      <c r="Y328" s="1" t="s">
        <v>964</v>
      </c>
      <c r="AC328" s="55" t="s">
        <v>150</v>
      </c>
      <c r="AD328" s="56"/>
      <c r="AE328" s="57" t="n">
        <v>1</v>
      </c>
      <c r="AF328" s="1" t="n">
        <v>22</v>
      </c>
      <c r="AG328" s="28" t="n">
        <f aca="false">AE328*AF328</f>
        <v>22</v>
      </c>
    </row>
    <row r="329" customFormat="false" ht="15" hidden="false" customHeight="false" outlineLevel="0" collapsed="false">
      <c r="L329" s="117"/>
      <c r="N329" s="117"/>
      <c r="R329" s="55"/>
      <c r="T329" s="185"/>
      <c r="U329" s="28"/>
      <c r="V329" s="28"/>
      <c r="X329" s="60"/>
      <c r="Y329" s="60"/>
      <c r="Z329" s="60"/>
      <c r="AA329" s="60"/>
      <c r="AB329" s="60"/>
      <c r="AC329" s="60"/>
      <c r="AD329" s="60"/>
      <c r="AE329" s="60"/>
      <c r="AF329" s="60"/>
      <c r="AG329" s="61" t="n">
        <f aca="false">SUM(AG328)</f>
        <v>22</v>
      </c>
    </row>
    <row r="330" customFormat="false" ht="15" hidden="false" customHeight="false" outlineLevel="0" collapsed="false">
      <c r="L330" s="117"/>
      <c r="N330" s="117" t="s">
        <v>1329</v>
      </c>
      <c r="R330" s="55" t="s">
        <v>204</v>
      </c>
      <c r="S330" s="56"/>
      <c r="T330" s="185" t="n">
        <v>1</v>
      </c>
      <c r="U330" s="28" t="n">
        <f aca="false">AG74</f>
        <v>7.930344</v>
      </c>
      <c r="V330" s="28" t="n">
        <f aca="false">T330*U330</f>
        <v>7.930344</v>
      </c>
    </row>
    <row r="331" customFormat="false" ht="15" hidden="false" customHeight="false" outlineLevel="0" collapsed="false">
      <c r="L331" s="118"/>
      <c r="N331" s="118" t="s">
        <v>1331</v>
      </c>
      <c r="R331" s="55" t="s">
        <v>134</v>
      </c>
      <c r="S331" s="56"/>
      <c r="T331" s="186" t="n">
        <v>0.33</v>
      </c>
      <c r="U331" s="28" t="n">
        <f aca="false">AG89</f>
        <v>77.2277048</v>
      </c>
      <c r="V331" s="28" t="n">
        <f aca="false">T331*U331</f>
        <v>25.485142584</v>
      </c>
      <c r="X331" s="14" t="s">
        <v>1324</v>
      </c>
      <c r="Y331" s="14"/>
      <c r="Z331" s="14" t="s">
        <v>630</v>
      </c>
      <c r="AA331" s="14"/>
      <c r="AB331" s="14"/>
      <c r="AC331" s="14"/>
      <c r="AD331" s="14"/>
      <c r="AE331" s="14"/>
      <c r="AF331" s="14"/>
    </row>
    <row r="332" customFormat="false" ht="15" hidden="false" customHeight="false" outlineLevel="0" collapsed="false">
      <c r="L332" s="118"/>
      <c r="N332" s="119" t="s">
        <v>844</v>
      </c>
      <c r="R332" s="55" t="s">
        <v>155</v>
      </c>
      <c r="S332" s="56"/>
      <c r="T332" s="187" t="n">
        <v>1</v>
      </c>
      <c r="U332" s="28" t="n">
        <f aca="false">AG325</f>
        <v>22</v>
      </c>
      <c r="V332" s="28" t="n">
        <f aca="false">T332*U332</f>
        <v>22</v>
      </c>
      <c r="X332" s="14" t="s">
        <v>279</v>
      </c>
      <c r="Y332" s="14" t="s">
        <v>280</v>
      </c>
      <c r="Z332" s="36" t="s">
        <v>281</v>
      </c>
      <c r="AA332" s="52" t="n">
        <v>12</v>
      </c>
      <c r="AB332" s="36" t="s">
        <v>282</v>
      </c>
      <c r="AC332" s="52" t="n">
        <f aca="false">AA332</f>
        <v>12</v>
      </c>
      <c r="AD332" s="14" t="s">
        <v>283</v>
      </c>
      <c r="AF332" s="36" t="s">
        <v>134</v>
      </c>
      <c r="AG332" s="53" t="n">
        <f aca="false">AG339+AG345+AG348</f>
        <v>84.6740433333333</v>
      </c>
    </row>
    <row r="333" customFormat="false" ht="15" hidden="false" customHeight="false" outlineLevel="0" collapsed="false">
      <c r="L333" s="119"/>
      <c r="N333" s="119" t="s">
        <v>630</v>
      </c>
      <c r="R333" s="55" t="s">
        <v>134</v>
      </c>
      <c r="S333" s="56"/>
      <c r="T333" s="187" t="n">
        <v>0.225</v>
      </c>
      <c r="U333" s="28" t="n">
        <f aca="false">AG332</f>
        <v>84.6740433333333</v>
      </c>
      <c r="V333" s="28" t="n">
        <f aca="false">T333*U333</f>
        <v>19.05165975</v>
      </c>
      <c r="X333" s="14" t="s">
        <v>284</v>
      </c>
      <c r="Y333" s="14" t="s">
        <v>285</v>
      </c>
      <c r="AC333" s="36" t="s">
        <v>123</v>
      </c>
      <c r="AD333" s="36" t="s">
        <v>286</v>
      </c>
      <c r="AE333" s="36" t="s">
        <v>287</v>
      </c>
      <c r="AF333" s="36" t="s">
        <v>288</v>
      </c>
      <c r="AG333" s="36" t="s">
        <v>289</v>
      </c>
    </row>
    <row r="334" customFormat="false" ht="15" hidden="false" customHeight="false" outlineLevel="0" collapsed="false">
      <c r="L334" s="119"/>
      <c r="N334" s="119" t="s">
        <v>632</v>
      </c>
      <c r="R334" s="55" t="s">
        <v>297</v>
      </c>
      <c r="S334" s="56"/>
      <c r="T334" s="187" t="n">
        <v>0.2</v>
      </c>
      <c r="U334" s="28" t="n">
        <f aca="false">AG351</f>
        <v>7.50579971428572</v>
      </c>
      <c r="V334" s="28" t="n">
        <f aca="false">T334*U334</f>
        <v>1.50115994285714</v>
      </c>
      <c r="Y334" s="54" t="s">
        <v>290</v>
      </c>
    </row>
    <row r="335" customFormat="false" ht="15" hidden="false" customHeight="false" outlineLevel="0" collapsed="false">
      <c r="L335" s="119"/>
      <c r="N335" s="119" t="s">
        <v>1341</v>
      </c>
      <c r="R335" s="55" t="s">
        <v>134</v>
      </c>
      <c r="S335" s="56"/>
      <c r="T335" s="187" t="n">
        <v>1</v>
      </c>
      <c r="U335" s="28" t="n">
        <f aca="false">AG170</f>
        <v>2.9418736</v>
      </c>
      <c r="V335" s="28" t="n">
        <f aca="false">T335*U335</f>
        <v>2.9418736</v>
      </c>
      <c r="Y335" s="1" t="s">
        <v>651</v>
      </c>
      <c r="AC335" s="55" t="s">
        <v>292</v>
      </c>
      <c r="AD335" s="56" t="n">
        <v>0.1</v>
      </c>
      <c r="AE335" s="57" t="n">
        <f aca="false">AD335*8/$AA$332</f>
        <v>0.0666666666666667</v>
      </c>
      <c r="AF335" s="28" t="n">
        <v>34.73</v>
      </c>
      <c r="AG335" s="28" t="n">
        <f aca="false">AE335*AF335</f>
        <v>2.31533333333333</v>
      </c>
    </row>
    <row r="336" customFormat="false" ht="15" hidden="false" customHeight="false" outlineLevel="0" collapsed="false">
      <c r="L336" s="119"/>
      <c r="N336" s="119" t="s">
        <v>635</v>
      </c>
      <c r="R336" s="55" t="s">
        <v>204</v>
      </c>
      <c r="S336" s="56"/>
      <c r="T336" s="187" t="n">
        <v>0.2</v>
      </c>
      <c r="U336" s="28" t="n">
        <f aca="false">AG367</f>
        <v>445.90736</v>
      </c>
      <c r="V336" s="28" t="n">
        <f aca="false">T336*U336</f>
        <v>89.181472</v>
      </c>
      <c r="Y336" s="1" t="s">
        <v>291</v>
      </c>
      <c r="AC336" s="55" t="s">
        <v>292</v>
      </c>
      <c r="AD336" s="56" t="n">
        <v>1</v>
      </c>
      <c r="AE336" s="57" t="n">
        <f aca="false">AD336*8/$AA$332</f>
        <v>0.666666666666667</v>
      </c>
      <c r="AF336" s="28" t="n">
        <v>28.94</v>
      </c>
      <c r="AG336" s="28" t="n">
        <f aca="false">AE336*AF336</f>
        <v>19.2933333333333</v>
      </c>
    </row>
    <row r="337" customFormat="false" ht="15" hidden="false" customHeight="false" outlineLevel="0" collapsed="false">
      <c r="L337" s="119"/>
      <c r="N337" s="119" t="s">
        <v>606</v>
      </c>
      <c r="R337" s="55" t="s">
        <v>145</v>
      </c>
      <c r="S337" s="56"/>
      <c r="T337" s="187" t="n">
        <v>0.1889</v>
      </c>
      <c r="U337" s="28" t="n">
        <f aca="false">AG198</f>
        <v>19.2386832</v>
      </c>
      <c r="V337" s="28" t="n">
        <f aca="false">T337*U337</f>
        <v>3.63418725648</v>
      </c>
      <c r="Y337" s="1" t="s">
        <v>293</v>
      </c>
      <c r="AC337" s="55" t="s">
        <v>292</v>
      </c>
      <c r="AD337" s="56" t="n">
        <v>1</v>
      </c>
      <c r="AE337" s="57" t="n">
        <f aca="false">AD337*8/$AA$332</f>
        <v>0.666666666666667</v>
      </c>
      <c r="AF337" s="28" t="n">
        <v>22.66</v>
      </c>
      <c r="AG337" s="28" t="n">
        <f aca="false">AE337*AF337</f>
        <v>15.1066666666667</v>
      </c>
    </row>
    <row r="338" customFormat="false" ht="15" hidden="false" customHeight="false" outlineLevel="0" collapsed="false">
      <c r="M338" s="60"/>
      <c r="N338" s="60"/>
      <c r="O338" s="60"/>
      <c r="P338" s="60"/>
      <c r="Q338" s="60"/>
      <c r="R338" s="60"/>
      <c r="S338" s="60"/>
      <c r="T338" s="60"/>
      <c r="U338" s="60"/>
      <c r="V338" s="61" t="n">
        <f aca="false">SUM(V328:V337)</f>
        <v>171.725839133337</v>
      </c>
      <c r="Y338" s="1" t="s">
        <v>294</v>
      </c>
      <c r="AC338" s="55" t="s">
        <v>292</v>
      </c>
      <c r="AD338" s="56" t="n">
        <v>0.75</v>
      </c>
      <c r="AE338" s="57" t="n">
        <f aca="false">AD338*8/$AA$332</f>
        <v>0.5</v>
      </c>
      <c r="AF338" s="28" t="n">
        <v>20.51</v>
      </c>
      <c r="AG338" s="28" t="n">
        <f aca="false">AE338*AF338</f>
        <v>10.255</v>
      </c>
    </row>
    <row r="339" customFormat="false" ht="15" hidden="false" customHeight="false" outlineLevel="0" collapsed="false">
      <c r="AG339" s="53" t="n">
        <f aca="false">SUM(AG335:AG338)</f>
        <v>46.9703333333333</v>
      </c>
    </row>
    <row r="340" customFormat="false" ht="15" hidden="false" customHeight="false" outlineLevel="0" collapsed="false">
      <c r="R340" s="55"/>
      <c r="S340" s="56"/>
      <c r="T340" s="57"/>
      <c r="U340" s="28"/>
      <c r="V340" s="28"/>
      <c r="Y340" s="54" t="s">
        <v>295</v>
      </c>
      <c r="AC340" s="55"/>
      <c r="AH340" s="53"/>
    </row>
    <row r="341" customFormat="false" ht="15" hidden="false" customHeight="false" outlineLevel="0" collapsed="false">
      <c r="R341" s="55"/>
      <c r="S341" s="56"/>
      <c r="T341" s="57"/>
      <c r="U341" s="28"/>
      <c r="V341" s="28"/>
      <c r="Y341" s="1" t="s">
        <v>689</v>
      </c>
      <c r="AC341" s="55" t="s">
        <v>297</v>
      </c>
      <c r="AE341" s="57" t="n">
        <v>0.1</v>
      </c>
      <c r="AF341" s="28" t="n">
        <v>2.64</v>
      </c>
      <c r="AG341" s="28" t="n">
        <f aca="false">AE341*AF341</f>
        <v>0.264</v>
      </c>
    </row>
    <row r="342" customFormat="false" ht="15" hidden="false" customHeight="false" outlineLevel="0" collapsed="false">
      <c r="R342" s="55"/>
      <c r="S342" s="56"/>
      <c r="T342" s="57"/>
      <c r="U342" s="28"/>
      <c r="V342" s="28"/>
      <c r="Y342" s="1" t="s">
        <v>727</v>
      </c>
      <c r="AC342" s="55" t="s">
        <v>297</v>
      </c>
      <c r="AE342" s="57" t="n">
        <v>0.2</v>
      </c>
      <c r="AF342" s="1" t="n">
        <v>4.16</v>
      </c>
      <c r="AG342" s="28" t="n">
        <f aca="false">AE342*AF342</f>
        <v>0.832</v>
      </c>
    </row>
    <row r="343" customFormat="false" ht="15" hidden="false" customHeight="false" outlineLevel="0" collapsed="false">
      <c r="R343" s="55"/>
      <c r="S343" s="56"/>
      <c r="T343" s="57"/>
      <c r="U343" s="28"/>
      <c r="V343" s="28"/>
      <c r="Y343" s="1" t="s">
        <v>734</v>
      </c>
      <c r="AC343" s="55" t="s">
        <v>150</v>
      </c>
      <c r="AE343" s="57" t="n">
        <v>0.07</v>
      </c>
      <c r="AF343" s="1" t="n">
        <v>43.98</v>
      </c>
      <c r="AG343" s="28" t="n">
        <f aca="false">AE343*AF343</f>
        <v>3.0786</v>
      </c>
    </row>
    <row r="344" customFormat="false" ht="15" hidden="false" customHeight="false" outlineLevel="0" collapsed="false">
      <c r="R344" s="55"/>
      <c r="S344" s="56"/>
      <c r="T344" s="57"/>
      <c r="U344" s="28"/>
      <c r="V344" s="28"/>
      <c r="Y344" s="1" t="s">
        <v>309</v>
      </c>
      <c r="AC344" s="55" t="s">
        <v>306</v>
      </c>
      <c r="AE344" s="57" t="n">
        <v>3.65</v>
      </c>
      <c r="AF344" s="28" t="n">
        <v>8.8</v>
      </c>
      <c r="AG344" s="28" t="n">
        <f aca="false">AE344*AF344</f>
        <v>32.12</v>
      </c>
    </row>
    <row r="345" customFormat="false" ht="15" hidden="false" customHeight="false" outlineLevel="0" collapsed="false">
      <c r="R345" s="55"/>
      <c r="S345" s="56"/>
      <c r="T345" s="57"/>
      <c r="U345" s="28"/>
      <c r="V345" s="28"/>
      <c r="AG345" s="53" t="n">
        <f aca="false">SUM(AG341:AG344)</f>
        <v>36.2946</v>
      </c>
    </row>
    <row r="346" customFormat="false" ht="15" hidden="false" customHeight="false" outlineLevel="0" collapsed="false">
      <c r="R346" s="55"/>
      <c r="S346" s="56"/>
      <c r="T346" s="57"/>
      <c r="U346" s="28"/>
      <c r="V346" s="28"/>
      <c r="Y346" s="54" t="s">
        <v>318</v>
      </c>
    </row>
    <row r="347" customFormat="false" ht="15" hidden="false" customHeight="false" outlineLevel="0" collapsed="false">
      <c r="R347" s="55"/>
      <c r="S347" s="56"/>
      <c r="T347" s="57"/>
      <c r="U347" s="28"/>
      <c r="V347" s="28"/>
      <c r="Y347" s="1" t="s">
        <v>311</v>
      </c>
      <c r="AC347" s="55" t="s">
        <v>312</v>
      </c>
      <c r="AE347" s="57" t="n">
        <v>3</v>
      </c>
      <c r="AF347" s="28" t="n">
        <f aca="false">AG339</f>
        <v>46.9703333333333</v>
      </c>
      <c r="AG347" s="28" t="n">
        <f aca="false">AE347%*AF347</f>
        <v>1.40911</v>
      </c>
    </row>
    <row r="348" customFormat="false" ht="15" hidden="false" customHeight="false" outlineLevel="0" collapsed="false">
      <c r="R348" s="55"/>
      <c r="S348" s="56"/>
      <c r="T348" s="57"/>
      <c r="U348" s="28"/>
      <c r="V348" s="28"/>
      <c r="X348" s="60"/>
      <c r="Y348" s="60"/>
      <c r="Z348" s="60"/>
      <c r="AA348" s="60"/>
      <c r="AB348" s="60"/>
      <c r="AC348" s="60"/>
      <c r="AD348" s="60"/>
      <c r="AE348" s="60"/>
      <c r="AF348" s="60"/>
      <c r="AG348" s="61" t="n">
        <f aca="false">SUM(AG347:AG347)</f>
        <v>1.40911</v>
      </c>
    </row>
    <row r="349" customFormat="false" ht="15" hidden="false" customHeight="false" outlineLevel="0" collapsed="false">
      <c r="R349" s="55"/>
      <c r="S349" s="56"/>
      <c r="T349" s="57"/>
      <c r="U349" s="28"/>
      <c r="V349" s="28"/>
    </row>
    <row r="350" customFormat="false" ht="15" hidden="false" customHeight="false" outlineLevel="0" collapsed="false">
      <c r="R350" s="55"/>
      <c r="S350" s="56"/>
      <c r="T350" s="57"/>
      <c r="U350" s="28"/>
      <c r="V350" s="28"/>
      <c r="X350" s="14" t="s">
        <v>1324</v>
      </c>
      <c r="Y350" s="14"/>
      <c r="Z350" s="14" t="s">
        <v>632</v>
      </c>
      <c r="AA350" s="14"/>
      <c r="AB350" s="14"/>
      <c r="AC350" s="14"/>
      <c r="AD350" s="14"/>
      <c r="AE350" s="14"/>
      <c r="AF350" s="14"/>
    </row>
    <row r="351" customFormat="false" ht="15" hidden="false" customHeight="false" outlineLevel="0" collapsed="false">
      <c r="R351" s="55"/>
      <c r="S351" s="56"/>
      <c r="T351" s="57"/>
      <c r="U351" s="28"/>
      <c r="V351" s="28"/>
      <c r="X351" s="14" t="s">
        <v>279</v>
      </c>
      <c r="Y351" s="14" t="s">
        <v>679</v>
      </c>
      <c r="Z351" s="36" t="s">
        <v>281</v>
      </c>
      <c r="AA351" s="52" t="n">
        <v>280</v>
      </c>
      <c r="AB351" s="36" t="s">
        <v>282</v>
      </c>
      <c r="AC351" s="52" t="n">
        <f aca="false">AA351</f>
        <v>280</v>
      </c>
      <c r="AD351" s="14" t="s">
        <v>283</v>
      </c>
      <c r="AF351" s="36" t="s">
        <v>297</v>
      </c>
      <c r="AG351" s="53" t="n">
        <f aca="false">AG358+AG361+AG364</f>
        <v>7.50579971428572</v>
      </c>
    </row>
    <row r="352" customFormat="false" ht="15" hidden="false" customHeight="false" outlineLevel="0" collapsed="false">
      <c r="R352" s="55"/>
      <c r="S352" s="56"/>
      <c r="T352" s="57"/>
      <c r="U352" s="28"/>
      <c r="V352" s="28"/>
      <c r="X352" s="14" t="s">
        <v>284</v>
      </c>
      <c r="Y352" s="14" t="s">
        <v>285</v>
      </c>
      <c r="AC352" s="36" t="s">
        <v>123</v>
      </c>
      <c r="AD352" s="36" t="s">
        <v>286</v>
      </c>
      <c r="AE352" s="36" t="s">
        <v>287</v>
      </c>
      <c r="AF352" s="36" t="s">
        <v>288</v>
      </c>
      <c r="AG352" s="36" t="s">
        <v>289</v>
      </c>
    </row>
    <row r="353" customFormat="false" ht="15" hidden="false" customHeight="false" outlineLevel="0" collapsed="false">
      <c r="R353" s="55"/>
      <c r="S353" s="56"/>
      <c r="T353" s="57"/>
      <c r="U353" s="28"/>
      <c r="V353" s="28"/>
      <c r="Y353" s="54" t="s">
        <v>290</v>
      </c>
    </row>
    <row r="354" customFormat="false" ht="15" hidden="false" customHeight="false" outlineLevel="0" collapsed="false">
      <c r="R354" s="55"/>
      <c r="S354" s="56"/>
      <c r="T354" s="57"/>
      <c r="U354" s="28"/>
      <c r="V354" s="28"/>
      <c r="Y354" s="1" t="s">
        <v>651</v>
      </c>
      <c r="AC354" s="55" t="s">
        <v>292</v>
      </c>
      <c r="AD354" s="56" t="n">
        <v>0.1</v>
      </c>
      <c r="AE354" s="57" t="n">
        <f aca="false">AD354*8/$AA$351</f>
        <v>0.00285714285714286</v>
      </c>
      <c r="AF354" s="28" t="n">
        <v>34.73</v>
      </c>
      <c r="AG354" s="28" t="n">
        <f aca="false">AE354*AF354</f>
        <v>0.0992285714285714</v>
      </c>
    </row>
    <row r="355" customFormat="false" ht="15" hidden="false" customHeight="false" outlineLevel="0" collapsed="false">
      <c r="R355" s="55"/>
      <c r="S355" s="56"/>
      <c r="T355" s="57"/>
      <c r="U355" s="28"/>
      <c r="V355" s="28"/>
      <c r="Y355" s="1" t="s">
        <v>291</v>
      </c>
      <c r="AC355" s="55" t="s">
        <v>292</v>
      </c>
      <c r="AD355" s="56" t="n">
        <v>1</v>
      </c>
      <c r="AE355" s="57" t="n">
        <f aca="false">AD355*8/$AA$351</f>
        <v>0.0285714285714286</v>
      </c>
      <c r="AF355" s="28" t="n">
        <v>28.94</v>
      </c>
      <c r="AG355" s="28" t="n">
        <f aca="false">AE355*AF355</f>
        <v>0.826857142857143</v>
      </c>
    </row>
    <row r="356" customFormat="false" ht="15" hidden="false" customHeight="false" outlineLevel="0" collapsed="false">
      <c r="R356" s="55"/>
      <c r="S356" s="56"/>
      <c r="T356" s="57"/>
      <c r="U356" s="28"/>
      <c r="V356" s="28"/>
      <c r="Y356" s="1" t="s">
        <v>293</v>
      </c>
      <c r="AC356" s="55" t="s">
        <v>292</v>
      </c>
      <c r="AD356" s="56" t="n">
        <v>1</v>
      </c>
      <c r="AE356" s="57" t="n">
        <f aca="false">AD356*8/$AA$351</f>
        <v>0.0285714285714286</v>
      </c>
      <c r="AF356" s="28" t="n">
        <v>22.66</v>
      </c>
      <c r="AG356" s="28" t="n">
        <f aca="false">AE356*AF356</f>
        <v>0.647428571428572</v>
      </c>
    </row>
    <row r="357" customFormat="false" ht="15" hidden="false" customHeight="false" outlineLevel="0" collapsed="false">
      <c r="R357" s="55"/>
      <c r="S357" s="56"/>
      <c r="T357" s="57"/>
      <c r="U357" s="28"/>
      <c r="V357" s="28"/>
      <c r="Y357" s="1" t="s">
        <v>294</v>
      </c>
      <c r="AC357" s="55" t="s">
        <v>292</v>
      </c>
      <c r="AD357" s="56" t="n">
        <v>1</v>
      </c>
      <c r="AE357" s="57" t="n">
        <f aca="false">AD357*8/$AA$351</f>
        <v>0.0285714285714286</v>
      </c>
      <c r="AF357" s="28" t="n">
        <v>20.51</v>
      </c>
      <c r="AG357" s="28" t="n">
        <f aca="false">AE357*AF357</f>
        <v>0.586</v>
      </c>
    </row>
    <row r="358" customFormat="false" ht="15" hidden="false" customHeight="false" outlineLevel="0" collapsed="false">
      <c r="R358" s="55"/>
      <c r="S358" s="56"/>
      <c r="T358" s="57"/>
      <c r="U358" s="28"/>
      <c r="V358" s="28"/>
      <c r="AG358" s="53" t="n">
        <f aca="false">SUM(AG354:AG357)</f>
        <v>2.15951428571429</v>
      </c>
    </row>
    <row r="359" customFormat="false" ht="15" hidden="false" customHeight="false" outlineLevel="0" collapsed="false">
      <c r="R359" s="55"/>
      <c r="S359" s="56"/>
      <c r="T359" s="57"/>
      <c r="U359" s="28"/>
      <c r="V359" s="28"/>
      <c r="Y359" s="54" t="s">
        <v>295</v>
      </c>
      <c r="AC359" s="55"/>
    </row>
    <row r="360" customFormat="false" ht="15" hidden="false" customHeight="false" outlineLevel="0" collapsed="false">
      <c r="R360" s="55"/>
      <c r="S360" s="56"/>
      <c r="T360" s="57"/>
      <c r="U360" s="28"/>
      <c r="V360" s="28"/>
      <c r="Y360" s="1" t="s">
        <v>735</v>
      </c>
      <c r="AC360" s="55" t="s">
        <v>297</v>
      </c>
      <c r="AE360" s="57" t="n">
        <v>1.05</v>
      </c>
      <c r="AF360" s="28" t="n">
        <v>5.03</v>
      </c>
      <c r="AG360" s="28" t="n">
        <f aca="false">AE360*AF360</f>
        <v>5.2815</v>
      </c>
    </row>
    <row r="361" customFormat="false" ht="15" hidden="false" customHeight="false" outlineLevel="0" collapsed="false">
      <c r="R361" s="55"/>
      <c r="S361" s="56"/>
      <c r="T361" s="57"/>
      <c r="U361" s="28"/>
      <c r="V361" s="28"/>
      <c r="AG361" s="53" t="n">
        <f aca="false">SUM(AG360:AG360)</f>
        <v>5.2815</v>
      </c>
    </row>
    <row r="362" customFormat="false" ht="15" hidden="false" customHeight="false" outlineLevel="0" collapsed="false">
      <c r="R362" s="55"/>
      <c r="S362" s="56"/>
      <c r="T362" s="57"/>
      <c r="U362" s="28"/>
      <c r="V362" s="28"/>
      <c r="Y362" s="54" t="s">
        <v>318</v>
      </c>
    </row>
    <row r="363" customFormat="false" ht="15" hidden="false" customHeight="false" outlineLevel="0" collapsed="false">
      <c r="R363" s="55"/>
      <c r="S363" s="56"/>
      <c r="T363" s="57"/>
      <c r="U363" s="28"/>
      <c r="V363" s="28"/>
      <c r="Y363" s="1" t="s">
        <v>311</v>
      </c>
      <c r="AC363" s="55" t="s">
        <v>312</v>
      </c>
      <c r="AE363" s="57" t="n">
        <v>3</v>
      </c>
      <c r="AF363" s="28" t="n">
        <f aca="false">AG358</f>
        <v>2.15951428571429</v>
      </c>
      <c r="AG363" s="28" t="n">
        <f aca="false">AE363%*AF363</f>
        <v>0.0647854285714286</v>
      </c>
    </row>
    <row r="364" customFormat="false" ht="15" hidden="false" customHeight="false" outlineLevel="0" collapsed="false">
      <c r="R364" s="55"/>
      <c r="S364" s="56"/>
      <c r="T364" s="57"/>
      <c r="U364" s="28"/>
      <c r="V364" s="28"/>
      <c r="X364" s="60"/>
      <c r="Y364" s="60"/>
      <c r="Z364" s="60"/>
      <c r="AA364" s="60"/>
      <c r="AB364" s="60"/>
      <c r="AC364" s="60"/>
      <c r="AD364" s="60"/>
      <c r="AE364" s="60"/>
      <c r="AF364" s="60"/>
      <c r="AG364" s="61" t="n">
        <f aca="false">SUM(AG363:AG363)</f>
        <v>0.0647854285714286</v>
      </c>
    </row>
    <row r="365" customFormat="false" ht="15" hidden="false" customHeight="false" outlineLevel="0" collapsed="false">
      <c r="R365" s="55"/>
      <c r="S365" s="56"/>
      <c r="T365" s="57"/>
      <c r="U365" s="28"/>
      <c r="V365" s="28"/>
    </row>
    <row r="366" customFormat="false" ht="15" hidden="false" customHeight="false" outlineLevel="0" collapsed="false">
      <c r="R366" s="55"/>
      <c r="S366" s="56"/>
      <c r="T366" s="57"/>
      <c r="U366" s="28"/>
      <c r="V366" s="28"/>
      <c r="X366" s="82" t="s">
        <v>278</v>
      </c>
      <c r="Y366" s="82"/>
      <c r="Z366" s="82" t="s">
        <v>635</v>
      </c>
      <c r="AA366" s="82"/>
    </row>
    <row r="367" customFormat="false" ht="15" hidden="false" customHeight="false" outlineLevel="0" collapsed="false">
      <c r="R367" s="55"/>
      <c r="S367" s="56"/>
      <c r="T367" s="57"/>
      <c r="U367" s="28"/>
      <c r="V367" s="28"/>
      <c r="X367" s="82" t="s">
        <v>279</v>
      </c>
      <c r="Y367" s="82" t="s">
        <v>417</v>
      </c>
      <c r="Z367" s="84" t="s">
        <v>281</v>
      </c>
      <c r="AA367" s="85" t="n">
        <v>30</v>
      </c>
      <c r="AB367" s="84" t="s">
        <v>282</v>
      </c>
      <c r="AC367" s="85" t="n">
        <f aca="false">AA367</f>
        <v>30</v>
      </c>
      <c r="AD367" s="82" t="s">
        <v>283</v>
      </c>
      <c r="AF367" s="84" t="s">
        <v>204</v>
      </c>
      <c r="AG367" s="86" t="n">
        <f aca="false">AG374+AG379+AG383</f>
        <v>445.90736</v>
      </c>
    </row>
    <row r="368" customFormat="false" ht="15" hidden="false" customHeight="false" outlineLevel="0" collapsed="false">
      <c r="R368" s="55"/>
      <c r="S368" s="56"/>
      <c r="T368" s="57"/>
      <c r="U368" s="28"/>
      <c r="V368" s="28"/>
      <c r="X368" s="82" t="s">
        <v>284</v>
      </c>
      <c r="Y368" s="82" t="s">
        <v>285</v>
      </c>
      <c r="AC368" s="84" t="s">
        <v>123</v>
      </c>
      <c r="AD368" s="84" t="s">
        <v>286</v>
      </c>
      <c r="AE368" s="84" t="s">
        <v>287</v>
      </c>
      <c r="AF368" s="84" t="s">
        <v>288</v>
      </c>
      <c r="AG368" s="84" t="s">
        <v>289</v>
      </c>
    </row>
    <row r="369" customFormat="false" ht="15" hidden="false" customHeight="false" outlineLevel="0" collapsed="false">
      <c r="R369" s="55"/>
      <c r="S369" s="56"/>
      <c r="T369" s="57"/>
      <c r="U369" s="28"/>
      <c r="V369" s="28"/>
      <c r="Y369" s="87" t="s">
        <v>290</v>
      </c>
    </row>
    <row r="370" customFormat="false" ht="15" hidden="false" customHeight="false" outlineLevel="0" collapsed="false">
      <c r="R370" s="55"/>
      <c r="S370" s="56"/>
      <c r="T370" s="57"/>
      <c r="U370" s="28"/>
      <c r="V370" s="28"/>
      <c r="Y370" s="1" t="s">
        <v>651</v>
      </c>
      <c r="AC370" s="55" t="s">
        <v>292</v>
      </c>
      <c r="AD370" s="56" t="n">
        <v>0.1</v>
      </c>
      <c r="AE370" s="57" t="n">
        <f aca="false">AD370*8/$AA$367</f>
        <v>0.0266666666666667</v>
      </c>
      <c r="AF370" s="28" t="n">
        <v>34.73</v>
      </c>
      <c r="AG370" s="28" t="n">
        <f aca="false">AE370*AF370</f>
        <v>0.926133333333333</v>
      </c>
    </row>
    <row r="371" customFormat="false" ht="15" hidden="false" customHeight="false" outlineLevel="0" collapsed="false">
      <c r="R371" s="55"/>
      <c r="S371" s="56"/>
      <c r="T371" s="57"/>
      <c r="U371" s="28"/>
      <c r="V371" s="28"/>
      <c r="Y371" s="1" t="s">
        <v>291</v>
      </c>
      <c r="AC371" s="55" t="s">
        <v>292</v>
      </c>
      <c r="AD371" s="56" t="n">
        <v>2</v>
      </c>
      <c r="AE371" s="57" t="n">
        <f aca="false">AD371*8/$AA$367</f>
        <v>0.533333333333333</v>
      </c>
      <c r="AF371" s="28" t="n">
        <v>28.94</v>
      </c>
      <c r="AG371" s="28" t="n">
        <f aca="false">AE371*AF371</f>
        <v>15.4346666666667</v>
      </c>
    </row>
    <row r="372" customFormat="false" ht="15" hidden="false" customHeight="false" outlineLevel="0" collapsed="false">
      <c r="R372" s="55"/>
      <c r="S372" s="56"/>
      <c r="T372" s="57"/>
      <c r="U372" s="28"/>
      <c r="V372" s="28"/>
      <c r="Y372" s="1" t="s">
        <v>293</v>
      </c>
      <c r="AC372" s="55" t="s">
        <v>292</v>
      </c>
      <c r="AD372" s="56" t="n">
        <v>1</v>
      </c>
      <c r="AE372" s="57" t="n">
        <f aca="false">AD372*8/$AA$367</f>
        <v>0.266666666666667</v>
      </c>
      <c r="AF372" s="28" t="n">
        <v>23.6</v>
      </c>
      <c r="AG372" s="28" t="n">
        <f aca="false">AE372*AF372</f>
        <v>6.29333333333333</v>
      </c>
    </row>
    <row r="373" customFormat="false" ht="15" hidden="false" customHeight="false" outlineLevel="0" collapsed="false">
      <c r="R373" s="55"/>
      <c r="S373" s="56"/>
      <c r="T373" s="57"/>
      <c r="U373" s="28"/>
      <c r="V373" s="28"/>
      <c r="Y373" s="1" t="s">
        <v>294</v>
      </c>
      <c r="AC373" s="55" t="s">
        <v>292</v>
      </c>
      <c r="AD373" s="56" t="n">
        <v>4</v>
      </c>
      <c r="AE373" s="57" t="n">
        <f aca="false">AD373*8/$AA$367</f>
        <v>1.06666666666667</v>
      </c>
      <c r="AF373" s="28" t="n">
        <v>21.36</v>
      </c>
      <c r="AG373" s="28" t="n">
        <f aca="false">AE373*AF373</f>
        <v>22.784</v>
      </c>
    </row>
    <row r="374" customFormat="false" ht="15" hidden="false" customHeight="false" outlineLevel="0" collapsed="false">
      <c r="R374" s="55"/>
      <c r="S374" s="56"/>
      <c r="T374" s="57"/>
      <c r="U374" s="28"/>
      <c r="V374" s="28"/>
      <c r="AC374" s="55"/>
      <c r="AD374" s="56"/>
      <c r="AE374" s="57"/>
      <c r="AG374" s="86" t="n">
        <f aca="false">SUM(AG371:AG373)</f>
        <v>44.512</v>
      </c>
    </row>
    <row r="375" customFormat="false" ht="15" hidden="false" customHeight="false" outlineLevel="0" collapsed="false">
      <c r="R375" s="55"/>
      <c r="S375" s="56"/>
      <c r="T375" s="57"/>
      <c r="U375" s="28"/>
      <c r="V375" s="28"/>
      <c r="Y375" s="87" t="s">
        <v>654</v>
      </c>
      <c r="AC375" s="55"/>
      <c r="AD375" s="56"/>
      <c r="AE375" s="57"/>
      <c r="AG375" s="28"/>
    </row>
    <row r="376" customFormat="false" ht="15" hidden="false" customHeight="false" outlineLevel="0" collapsed="false">
      <c r="R376" s="55"/>
      <c r="S376" s="56"/>
      <c r="T376" s="57"/>
      <c r="U376" s="28"/>
      <c r="V376" s="28"/>
      <c r="Y376" s="102" t="s">
        <v>722</v>
      </c>
      <c r="AC376" s="55" t="s">
        <v>204</v>
      </c>
      <c r="AE376" s="57" t="n">
        <v>0.1</v>
      </c>
      <c r="AF376" s="28" t="n">
        <v>24.52</v>
      </c>
      <c r="AG376" s="28" t="n">
        <f aca="false">AE376*AF376</f>
        <v>2.452</v>
      </c>
    </row>
    <row r="377" customFormat="false" ht="15" hidden="false" customHeight="false" outlineLevel="0" collapsed="false">
      <c r="R377" s="55"/>
      <c r="S377" s="56"/>
      <c r="T377" s="57"/>
      <c r="U377" s="28"/>
      <c r="V377" s="28"/>
      <c r="Y377" s="102" t="s">
        <v>723</v>
      </c>
      <c r="AC377" s="55" t="s">
        <v>204</v>
      </c>
      <c r="AE377" s="57" t="n">
        <v>1.02</v>
      </c>
      <c r="AF377" s="28" t="n">
        <v>358</v>
      </c>
      <c r="AG377" s="28" t="n">
        <f aca="false">AE377*AF377</f>
        <v>365.16</v>
      </c>
    </row>
    <row r="378" customFormat="false" ht="15" hidden="false" customHeight="false" outlineLevel="0" collapsed="false">
      <c r="R378" s="55"/>
      <c r="S378" s="56"/>
      <c r="T378" s="57"/>
      <c r="U378" s="28"/>
      <c r="V378" s="28"/>
      <c r="Y378" s="102" t="s">
        <v>724</v>
      </c>
      <c r="AC378" s="55" t="s">
        <v>308</v>
      </c>
      <c r="AE378" s="57" t="n">
        <v>1.02</v>
      </c>
      <c r="AF378" s="28" t="n">
        <v>30</v>
      </c>
      <c r="AG378" s="28" t="n">
        <f aca="false">AE378*AF378</f>
        <v>30.6</v>
      </c>
    </row>
    <row r="379" customFormat="false" ht="15" hidden="false" customHeight="false" outlineLevel="0" collapsed="false">
      <c r="R379" s="55"/>
      <c r="S379" s="56"/>
      <c r="T379" s="57"/>
      <c r="U379" s="28"/>
      <c r="V379" s="28"/>
      <c r="AC379" s="55"/>
      <c r="AE379" s="57"/>
      <c r="AF379" s="28"/>
      <c r="AG379" s="86" t="n">
        <f aca="false">SUM(AG376:AG378)</f>
        <v>398.212</v>
      </c>
    </row>
    <row r="380" customFormat="false" ht="15" hidden="false" customHeight="false" outlineLevel="0" collapsed="false">
      <c r="R380" s="55"/>
      <c r="S380" s="56"/>
      <c r="T380" s="57"/>
      <c r="U380" s="28"/>
      <c r="V380" s="28"/>
      <c r="Y380" s="87" t="s">
        <v>310</v>
      </c>
    </row>
    <row r="381" customFormat="false" ht="15" hidden="false" customHeight="false" outlineLevel="0" collapsed="false">
      <c r="R381" s="55"/>
      <c r="S381" s="56"/>
      <c r="T381" s="57"/>
      <c r="U381" s="28"/>
      <c r="V381" s="28"/>
      <c r="Y381" s="1" t="s">
        <v>311</v>
      </c>
      <c r="AC381" s="55" t="s">
        <v>312</v>
      </c>
      <c r="AE381" s="57" t="n">
        <v>3</v>
      </c>
      <c r="AF381" s="28" t="n">
        <f aca="false">AG374</f>
        <v>44.512</v>
      </c>
      <c r="AG381" s="28" t="n">
        <f aca="false">AE381%*AF381</f>
        <v>1.33536</v>
      </c>
    </row>
    <row r="382" customFormat="false" ht="15" hidden="false" customHeight="false" outlineLevel="0" collapsed="false">
      <c r="R382" s="55"/>
      <c r="S382" s="56"/>
      <c r="T382" s="57"/>
      <c r="U382" s="28"/>
      <c r="V382" s="28"/>
      <c r="Y382" s="102" t="s">
        <v>725</v>
      </c>
      <c r="AC382" s="55" t="s">
        <v>338</v>
      </c>
      <c r="AD382" s="56" t="n">
        <v>1</v>
      </c>
      <c r="AE382" s="57" t="n">
        <f aca="false">AD382*8/$AA$367</f>
        <v>0.266666666666667</v>
      </c>
      <c r="AF382" s="28" t="n">
        <v>6.93</v>
      </c>
      <c r="AG382" s="28" t="n">
        <f aca="false">AE382*AF382</f>
        <v>1.848</v>
      </c>
    </row>
    <row r="383" customFormat="false" ht="15" hidden="false" customHeight="false" outlineLevel="0" collapsed="false">
      <c r="R383" s="55"/>
      <c r="S383" s="56"/>
      <c r="T383" s="57"/>
      <c r="U383" s="28"/>
      <c r="V383" s="28"/>
      <c r="X383" s="60"/>
      <c r="Y383" s="60"/>
      <c r="Z383" s="60"/>
      <c r="AA383" s="60"/>
      <c r="AB383" s="60"/>
      <c r="AC383" s="60"/>
      <c r="AD383" s="60"/>
      <c r="AE383" s="60"/>
      <c r="AF383" s="60"/>
      <c r="AG383" s="89" t="n">
        <f aca="false">SUM(AG381:AG382)</f>
        <v>3.18336</v>
      </c>
    </row>
    <row r="384" customFormat="false" ht="15" hidden="false" customHeight="false" outlineLevel="0" collapsed="false">
      <c r="R384" s="55"/>
      <c r="S384" s="56"/>
      <c r="T384" s="57"/>
      <c r="U384" s="28"/>
      <c r="V384" s="28"/>
    </row>
    <row r="385" customFormat="false" ht="15" hidden="false" customHeight="false" outlineLevel="0" collapsed="false">
      <c r="M385" s="14" t="s">
        <v>278</v>
      </c>
      <c r="N385" s="14"/>
      <c r="O385" s="14" t="s">
        <v>82</v>
      </c>
      <c r="P385" s="14"/>
      <c r="Q385" s="14"/>
      <c r="R385" s="14"/>
      <c r="S385" s="14"/>
      <c r="T385" s="14"/>
      <c r="U385" s="14"/>
    </row>
    <row r="386" customFormat="false" ht="15" hidden="false" customHeight="false" outlineLevel="0" collapsed="false">
      <c r="M386" s="14" t="s">
        <v>279</v>
      </c>
      <c r="N386" s="14" t="s">
        <v>280</v>
      </c>
      <c r="O386" s="36" t="s">
        <v>281</v>
      </c>
      <c r="P386" s="52" t="n">
        <v>1</v>
      </c>
      <c r="Q386" s="36" t="s">
        <v>282</v>
      </c>
      <c r="R386" s="52" t="n">
        <f aca="false">P386</f>
        <v>1</v>
      </c>
      <c r="S386" s="14" t="s">
        <v>283</v>
      </c>
      <c r="U386" s="36" t="s">
        <v>134</v>
      </c>
      <c r="V386" s="53" t="n">
        <f aca="false">V390</f>
        <v>75.46</v>
      </c>
    </row>
    <row r="387" customFormat="false" ht="15" hidden="false" customHeight="false" outlineLevel="0" collapsed="false">
      <c r="M387" s="14" t="s">
        <v>284</v>
      </c>
      <c r="N387" s="14" t="s">
        <v>285</v>
      </c>
      <c r="R387" s="36" t="s">
        <v>123</v>
      </c>
      <c r="S387" s="36" t="s">
        <v>286</v>
      </c>
      <c r="T387" s="36" t="s">
        <v>287</v>
      </c>
      <c r="U387" s="36" t="s">
        <v>288</v>
      </c>
      <c r="V387" s="36" t="s">
        <v>289</v>
      </c>
    </row>
    <row r="388" customFormat="false" ht="15" hidden="false" customHeight="false" outlineLevel="0" collapsed="false">
      <c r="N388" s="54" t="s">
        <v>295</v>
      </c>
    </row>
    <row r="389" customFormat="false" ht="15" hidden="false" customHeight="false" outlineLevel="0" collapsed="false">
      <c r="N389" s="1" t="s">
        <v>82</v>
      </c>
      <c r="R389" s="55" t="s">
        <v>134</v>
      </c>
      <c r="S389" s="56"/>
      <c r="T389" s="57" t="n">
        <v>1</v>
      </c>
      <c r="U389" s="1" t="n">
        <v>75.46</v>
      </c>
      <c r="V389" s="28" t="n">
        <f aca="false">T389*U389</f>
        <v>75.46</v>
      </c>
    </row>
    <row r="390" customFormat="false" ht="15" hidden="false" customHeight="false" outlineLevel="0" collapsed="false">
      <c r="M390" s="60"/>
      <c r="N390" s="60"/>
      <c r="O390" s="60"/>
      <c r="P390" s="60"/>
      <c r="Q390" s="60"/>
      <c r="R390" s="60"/>
      <c r="S390" s="60"/>
      <c r="T390" s="60"/>
      <c r="U390" s="60"/>
      <c r="V390" s="61" t="n">
        <f aca="false">SUM(V389)</f>
        <v>75.46</v>
      </c>
    </row>
    <row r="392" customFormat="false" ht="15" hidden="false" customHeight="false" outlineLevel="0" collapsed="false">
      <c r="M392" s="14" t="s">
        <v>278</v>
      </c>
      <c r="N392" s="14"/>
      <c r="O392" s="14" t="s">
        <v>83</v>
      </c>
      <c r="P392" s="14"/>
      <c r="Q392" s="14"/>
      <c r="R392" s="14"/>
      <c r="S392" s="14"/>
      <c r="T392" s="14"/>
      <c r="U392" s="14"/>
    </row>
    <row r="393" customFormat="false" ht="15" hidden="false" customHeight="false" outlineLevel="0" collapsed="false">
      <c r="M393" s="14" t="s">
        <v>279</v>
      </c>
      <c r="N393" s="14" t="s">
        <v>326</v>
      </c>
      <c r="O393" s="36" t="s">
        <v>281</v>
      </c>
      <c r="P393" s="52" t="n">
        <v>1</v>
      </c>
      <c r="Q393" s="36" t="s">
        <v>282</v>
      </c>
      <c r="R393" s="52" t="n">
        <f aca="false">P393</f>
        <v>1</v>
      </c>
      <c r="S393" s="14" t="s">
        <v>283</v>
      </c>
      <c r="U393" s="36" t="s">
        <v>150</v>
      </c>
      <c r="V393" s="53" t="n">
        <f aca="false">V397</f>
        <v>69.41</v>
      </c>
    </row>
    <row r="394" customFormat="false" ht="15" hidden="false" customHeight="false" outlineLevel="0" collapsed="false">
      <c r="M394" s="14" t="s">
        <v>284</v>
      </c>
      <c r="N394" s="14" t="s">
        <v>285</v>
      </c>
      <c r="R394" s="36" t="s">
        <v>123</v>
      </c>
      <c r="S394" s="36" t="s">
        <v>286</v>
      </c>
      <c r="T394" s="36" t="s">
        <v>287</v>
      </c>
      <c r="U394" s="36" t="s">
        <v>288</v>
      </c>
      <c r="V394" s="36" t="s">
        <v>289</v>
      </c>
    </row>
    <row r="395" customFormat="false" ht="15" hidden="false" customHeight="false" outlineLevel="0" collapsed="false">
      <c r="N395" s="54" t="s">
        <v>295</v>
      </c>
    </row>
    <row r="396" customFormat="false" ht="15" hidden="false" customHeight="false" outlineLevel="0" collapsed="false">
      <c r="N396" s="1" t="s">
        <v>83</v>
      </c>
      <c r="R396" s="55" t="s">
        <v>150</v>
      </c>
      <c r="S396" s="56"/>
      <c r="T396" s="57" t="n">
        <v>1</v>
      </c>
      <c r="U396" s="1" t="n">
        <v>69.41</v>
      </c>
      <c r="V396" s="28" t="n">
        <f aca="false">T396*U396</f>
        <v>69.41</v>
      </c>
    </row>
    <row r="397" customFormat="false" ht="15" hidden="false" customHeight="false" outlineLevel="0" collapsed="false">
      <c r="M397" s="60"/>
      <c r="N397" s="60"/>
      <c r="O397" s="60"/>
      <c r="P397" s="60"/>
      <c r="Q397" s="60"/>
      <c r="R397" s="60"/>
      <c r="S397" s="60"/>
      <c r="T397" s="60"/>
      <c r="U397" s="60"/>
      <c r="V397" s="61" t="n">
        <f aca="false">SUM(V396)</f>
        <v>69.41</v>
      </c>
    </row>
    <row r="398" customFormat="false" ht="15" hidden="false" customHeight="false" outlineLevel="0" collapsed="false">
      <c r="R398" s="55"/>
      <c r="S398" s="56"/>
      <c r="T398" s="57"/>
      <c r="U398" s="28"/>
      <c r="V398" s="28"/>
    </row>
    <row r="399" customFormat="false" ht="15" hidden="false" customHeight="false" outlineLevel="0" collapsed="false">
      <c r="M399" s="14" t="s">
        <v>278</v>
      </c>
      <c r="N399" s="14"/>
      <c r="O399" s="14" t="s">
        <v>1048</v>
      </c>
      <c r="P399" s="14"/>
      <c r="Q399" s="14"/>
      <c r="R399" s="14"/>
      <c r="S399" s="14"/>
      <c r="T399" s="14"/>
      <c r="U399" s="14"/>
    </row>
    <row r="400" customFormat="false" ht="15" hidden="false" customHeight="false" outlineLevel="0" collapsed="false">
      <c r="M400" s="14" t="s">
        <v>279</v>
      </c>
      <c r="N400" s="14" t="s">
        <v>332</v>
      </c>
      <c r="O400" s="36" t="s">
        <v>281</v>
      </c>
      <c r="P400" s="52" t="n">
        <v>1</v>
      </c>
      <c r="Q400" s="36" t="s">
        <v>282</v>
      </c>
      <c r="R400" s="52" t="n">
        <f aca="false">P400</f>
        <v>1</v>
      </c>
      <c r="S400" s="14" t="s">
        <v>283</v>
      </c>
      <c r="U400" s="36" t="s">
        <v>155</v>
      </c>
      <c r="V400" s="53" t="n">
        <f aca="false">V404</f>
        <v>35681.59242</v>
      </c>
    </row>
    <row r="401" customFormat="false" ht="15" hidden="false" customHeight="false" outlineLevel="0" collapsed="false">
      <c r="M401" s="14" t="s">
        <v>284</v>
      </c>
      <c r="N401" s="14" t="s">
        <v>285</v>
      </c>
      <c r="R401" s="36" t="s">
        <v>123</v>
      </c>
      <c r="S401" s="36" t="s">
        <v>286</v>
      </c>
      <c r="T401" s="36" t="s">
        <v>287</v>
      </c>
      <c r="U401" s="36" t="s">
        <v>288</v>
      </c>
      <c r="V401" s="36" t="s">
        <v>289</v>
      </c>
    </row>
    <row r="402" customFormat="false" ht="15" hidden="false" customHeight="false" outlineLevel="0" collapsed="false">
      <c r="N402" s="54" t="s">
        <v>295</v>
      </c>
    </row>
    <row r="403" customFormat="false" ht="15" hidden="false" customHeight="false" outlineLevel="0" collapsed="false">
      <c r="N403" s="1" t="s">
        <v>1048</v>
      </c>
      <c r="R403" s="55" t="s">
        <v>155</v>
      </c>
      <c r="S403" s="56"/>
      <c r="T403" s="57" t="n">
        <v>1</v>
      </c>
      <c r="U403" s="88" t="n">
        <f aca="false">10.8*'Datos iniciales '!B3*(0.85+0.035*'Obras exteriores '!J15)</f>
        <v>35681.59242</v>
      </c>
      <c r="V403" s="28" t="n">
        <f aca="false">T403*U403</f>
        <v>35681.59242</v>
      </c>
    </row>
    <row r="404" customFormat="false" ht="15" hidden="false" customHeight="false" outlineLevel="0" collapsed="false">
      <c r="M404" s="60"/>
      <c r="N404" s="60"/>
      <c r="O404" s="60"/>
      <c r="P404" s="60"/>
      <c r="Q404" s="60"/>
      <c r="R404" s="60"/>
      <c r="S404" s="60"/>
      <c r="T404" s="60"/>
      <c r="U404" s="60"/>
      <c r="V404" s="61" t="n">
        <f aca="false">SUM(V403)</f>
        <v>35681.59242</v>
      </c>
    </row>
    <row r="406" customFormat="false" ht="15" hidden="false" customHeight="false" outlineLevel="0" collapsed="false">
      <c r="M406" s="14" t="s">
        <v>278</v>
      </c>
      <c r="N406" s="14"/>
      <c r="O406" s="14" t="s">
        <v>1049</v>
      </c>
      <c r="P406" s="14"/>
      <c r="Q406" s="14"/>
      <c r="R406" s="14"/>
      <c r="S406" s="14"/>
      <c r="T406" s="14"/>
      <c r="U406" s="14"/>
    </row>
    <row r="407" customFormat="false" ht="15" hidden="false" customHeight="false" outlineLevel="0" collapsed="false">
      <c r="M407" s="14" t="s">
        <v>279</v>
      </c>
      <c r="N407" s="14" t="s">
        <v>332</v>
      </c>
      <c r="O407" s="36" t="s">
        <v>281</v>
      </c>
      <c r="P407" s="52" t="n">
        <v>1</v>
      </c>
      <c r="Q407" s="36" t="s">
        <v>282</v>
      </c>
      <c r="R407" s="52" t="n">
        <f aca="false">P407</f>
        <v>1</v>
      </c>
      <c r="S407" s="14" t="s">
        <v>283</v>
      </c>
      <c r="U407" s="36" t="s">
        <v>155</v>
      </c>
      <c r="V407" s="53" t="n">
        <f aca="false">V411</f>
        <v>14616.94</v>
      </c>
    </row>
    <row r="408" customFormat="false" ht="15" hidden="false" customHeight="false" outlineLevel="0" collapsed="false">
      <c r="M408" s="14" t="s">
        <v>284</v>
      </c>
      <c r="N408" s="14" t="s">
        <v>285</v>
      </c>
      <c r="R408" s="36" t="s">
        <v>123</v>
      </c>
      <c r="S408" s="36" t="s">
        <v>286</v>
      </c>
      <c r="T408" s="36" t="s">
        <v>287</v>
      </c>
      <c r="U408" s="36" t="s">
        <v>288</v>
      </c>
      <c r="V408" s="36" t="s">
        <v>289</v>
      </c>
    </row>
    <row r="409" customFormat="false" ht="15" hidden="false" customHeight="false" outlineLevel="0" collapsed="false">
      <c r="N409" s="54" t="s">
        <v>295</v>
      </c>
    </row>
    <row r="410" customFormat="false" ht="15" hidden="false" customHeight="false" outlineLevel="0" collapsed="false">
      <c r="N410" s="1" t="s">
        <v>1049</v>
      </c>
      <c r="R410" s="55" t="s">
        <v>155</v>
      </c>
      <c r="S410" s="56"/>
      <c r="T410" s="57" t="n">
        <v>1</v>
      </c>
      <c r="U410" s="88" t="n">
        <f aca="false">6.5*'Datos iniciales '!C3</f>
        <v>14616.94</v>
      </c>
      <c r="V410" s="28" t="n">
        <f aca="false">T410*U410</f>
        <v>14616.94</v>
      </c>
    </row>
    <row r="411" customFormat="false" ht="15" hidden="false" customHeight="false" outlineLevel="0" collapsed="false">
      <c r="M411" s="60"/>
      <c r="N411" s="60"/>
      <c r="O411" s="60"/>
      <c r="P411" s="60"/>
      <c r="Q411" s="60"/>
      <c r="R411" s="60"/>
      <c r="S411" s="60"/>
      <c r="T411" s="60"/>
      <c r="U411" s="60"/>
      <c r="V411" s="61" t="n">
        <f aca="false">SUM(V410)</f>
        <v>14616.94</v>
      </c>
    </row>
    <row r="413" customFormat="false" ht="15" hidden="false" customHeight="false" outlineLevel="0" collapsed="false">
      <c r="M413" s="14" t="s">
        <v>278</v>
      </c>
      <c r="N413" s="14"/>
      <c r="O413" s="14" t="s">
        <v>116</v>
      </c>
      <c r="P413" s="14"/>
      <c r="Q413" s="14"/>
      <c r="R413" s="14"/>
      <c r="S413" s="14"/>
      <c r="T413" s="14"/>
      <c r="U413" s="14"/>
    </row>
    <row r="414" customFormat="false" ht="15" hidden="false" customHeight="false" outlineLevel="0" collapsed="false">
      <c r="M414" s="14" t="s">
        <v>279</v>
      </c>
      <c r="N414" s="14" t="s">
        <v>332</v>
      </c>
      <c r="O414" s="36" t="s">
        <v>281</v>
      </c>
      <c r="P414" s="52" t="n">
        <v>1</v>
      </c>
      <c r="Q414" s="36" t="s">
        <v>282</v>
      </c>
      <c r="R414" s="52" t="n">
        <f aca="false">P414</f>
        <v>1</v>
      </c>
      <c r="S414" s="14" t="s">
        <v>283</v>
      </c>
      <c r="U414" s="36" t="s">
        <v>155</v>
      </c>
      <c r="V414" s="53" t="n">
        <f aca="false">V418</f>
        <v>76109.66</v>
      </c>
    </row>
    <row r="415" customFormat="false" ht="15" hidden="false" customHeight="false" outlineLevel="0" collapsed="false">
      <c r="M415" s="14" t="s">
        <v>284</v>
      </c>
      <c r="N415" s="14" t="s">
        <v>285</v>
      </c>
      <c r="R415" s="36" t="s">
        <v>123</v>
      </c>
      <c r="S415" s="36" t="s">
        <v>286</v>
      </c>
      <c r="T415" s="36" t="s">
        <v>287</v>
      </c>
      <c r="U415" s="36" t="s">
        <v>288</v>
      </c>
      <c r="V415" s="36" t="s">
        <v>289</v>
      </c>
    </row>
    <row r="416" customFormat="false" ht="15" hidden="false" customHeight="false" outlineLevel="0" collapsed="false">
      <c r="N416" s="54" t="s">
        <v>295</v>
      </c>
    </row>
    <row r="417" customFormat="false" ht="15" hidden="false" customHeight="false" outlineLevel="0" collapsed="false">
      <c r="N417" s="1" t="s">
        <v>116</v>
      </c>
      <c r="R417" s="55" t="s">
        <v>155</v>
      </c>
      <c r="S417" s="56"/>
      <c r="T417" s="57" t="n">
        <v>1</v>
      </c>
      <c r="U417" s="88" t="n">
        <f aca="false">22*'Datos iniciales '!B3</f>
        <v>76109.66</v>
      </c>
      <c r="V417" s="28" t="n">
        <f aca="false">T417*U417</f>
        <v>76109.66</v>
      </c>
    </row>
    <row r="418" customFormat="false" ht="15" hidden="false" customHeight="false" outlineLevel="0" collapsed="false">
      <c r="M418" s="60"/>
      <c r="N418" s="60"/>
      <c r="O418" s="60"/>
      <c r="P418" s="60"/>
      <c r="Q418" s="60"/>
      <c r="R418" s="60"/>
      <c r="S418" s="60"/>
      <c r="T418" s="60"/>
      <c r="U418" s="60"/>
      <c r="V418" s="61" t="n">
        <f aca="false">SUM(V417)</f>
        <v>76109.66</v>
      </c>
    </row>
    <row r="420" customFormat="false" ht="15" hidden="false" customHeight="false" outlineLevel="0" collapsed="false">
      <c r="M420" s="14" t="s">
        <v>278</v>
      </c>
      <c r="N420" s="14"/>
      <c r="O420" s="14" t="s">
        <v>1359</v>
      </c>
      <c r="P420" s="14"/>
      <c r="Q420" s="14"/>
      <c r="R420" s="14"/>
      <c r="S420" s="14"/>
      <c r="T420" s="14"/>
      <c r="U420" s="14"/>
    </row>
    <row r="421" customFormat="false" ht="15" hidden="false" customHeight="false" outlineLevel="0" collapsed="false">
      <c r="M421" s="14" t="s">
        <v>279</v>
      </c>
      <c r="N421" s="14" t="s">
        <v>332</v>
      </c>
      <c r="O421" s="36" t="s">
        <v>281</v>
      </c>
      <c r="P421" s="52" t="n">
        <v>1</v>
      </c>
      <c r="Q421" s="36" t="s">
        <v>282</v>
      </c>
      <c r="R421" s="52" t="n">
        <f aca="false">P421</f>
        <v>1</v>
      </c>
      <c r="S421" s="14" t="s">
        <v>283</v>
      </c>
      <c r="U421" s="36" t="s">
        <v>155</v>
      </c>
      <c r="V421" s="53" t="n">
        <f aca="false">V425</f>
        <v>95160</v>
      </c>
    </row>
    <row r="422" customFormat="false" ht="15" hidden="false" customHeight="false" outlineLevel="0" collapsed="false">
      <c r="M422" s="14" t="s">
        <v>284</v>
      </c>
      <c r="N422" s="14" t="s">
        <v>285</v>
      </c>
      <c r="R422" s="36" t="s">
        <v>123</v>
      </c>
      <c r="S422" s="36" t="s">
        <v>286</v>
      </c>
      <c r="T422" s="36" t="s">
        <v>287</v>
      </c>
      <c r="U422" s="36" t="s">
        <v>288</v>
      </c>
      <c r="V422" s="36" t="s">
        <v>289</v>
      </c>
    </row>
    <row r="423" customFormat="false" ht="15" hidden="false" customHeight="false" outlineLevel="0" collapsed="false">
      <c r="N423" s="54" t="s">
        <v>295</v>
      </c>
    </row>
    <row r="424" customFormat="false" ht="15" hidden="false" customHeight="false" outlineLevel="0" collapsed="false">
      <c r="N424" s="1" t="s">
        <v>1359</v>
      </c>
      <c r="R424" s="55" t="s">
        <v>155</v>
      </c>
      <c r="S424" s="56"/>
      <c r="T424" s="57" t="n">
        <v>1</v>
      </c>
      <c r="U424" s="1" t="n">
        <v>95160</v>
      </c>
      <c r="V424" s="28" t="n">
        <f aca="false">T424*U424</f>
        <v>95160</v>
      </c>
    </row>
    <row r="425" customFormat="false" ht="15" hidden="false" customHeight="false" outlineLevel="0" collapsed="false">
      <c r="M425" s="60"/>
      <c r="N425" s="60"/>
      <c r="O425" s="60"/>
      <c r="P425" s="60"/>
      <c r="Q425" s="60"/>
      <c r="R425" s="60"/>
      <c r="S425" s="60"/>
      <c r="T425" s="60"/>
      <c r="U425" s="60"/>
      <c r="V425" s="61" t="n">
        <f aca="false">SUM(V424)</f>
        <v>95160</v>
      </c>
    </row>
    <row r="427" customFormat="false" ht="15" hidden="false" customHeight="false" outlineLevel="0" collapsed="false">
      <c r="M427" s="14" t="s">
        <v>278</v>
      </c>
      <c r="N427" s="14"/>
      <c r="O427" s="14" t="s">
        <v>110</v>
      </c>
      <c r="P427" s="14"/>
      <c r="Q427" s="14"/>
      <c r="R427" s="14"/>
      <c r="S427" s="14"/>
      <c r="T427" s="14"/>
      <c r="U427" s="14"/>
    </row>
    <row r="428" customFormat="false" ht="15" hidden="false" customHeight="false" outlineLevel="0" collapsed="false">
      <c r="M428" s="14" t="s">
        <v>279</v>
      </c>
      <c r="N428" s="14" t="s">
        <v>1360</v>
      </c>
      <c r="O428" s="36" t="s">
        <v>281</v>
      </c>
      <c r="P428" s="52" t="n">
        <v>1</v>
      </c>
      <c r="Q428" s="36" t="s">
        <v>282</v>
      </c>
      <c r="R428" s="52" t="n">
        <f aca="false">P428</f>
        <v>1</v>
      </c>
      <c r="S428" s="14" t="s">
        <v>283</v>
      </c>
      <c r="U428" s="36" t="s">
        <v>1350</v>
      </c>
      <c r="V428" s="53" t="n">
        <f aca="false">V444</f>
        <v>3770.83894085957</v>
      </c>
      <c r="X428" s="14" t="s">
        <v>1358</v>
      </c>
      <c r="Y428" s="14"/>
      <c r="Z428" s="14" t="s">
        <v>1351</v>
      </c>
      <c r="AA428" s="14"/>
      <c r="AB428" s="14"/>
      <c r="AC428" s="14"/>
      <c r="AD428" s="14"/>
      <c r="AE428" s="14"/>
      <c r="AF428" s="14"/>
    </row>
    <row r="429" customFormat="false" ht="15" hidden="false" customHeight="false" outlineLevel="0" collapsed="false">
      <c r="M429" s="14" t="s">
        <v>284</v>
      </c>
      <c r="N429" s="14" t="s">
        <v>285</v>
      </c>
      <c r="R429" s="36" t="s">
        <v>123</v>
      </c>
      <c r="S429" s="36" t="s">
        <v>286</v>
      </c>
      <c r="T429" s="36" t="s">
        <v>287</v>
      </c>
      <c r="U429" s="36" t="s">
        <v>288</v>
      </c>
      <c r="V429" s="36" t="s">
        <v>289</v>
      </c>
      <c r="X429" s="14" t="s">
        <v>279</v>
      </c>
      <c r="Y429" s="14" t="s">
        <v>417</v>
      </c>
      <c r="Z429" s="36" t="s">
        <v>281</v>
      </c>
      <c r="AA429" s="52" t="n">
        <v>3.5</v>
      </c>
      <c r="AB429" s="36" t="s">
        <v>282</v>
      </c>
      <c r="AC429" s="52" t="n">
        <f aca="false">AA429</f>
        <v>3.5</v>
      </c>
      <c r="AD429" s="14" t="s">
        <v>283</v>
      </c>
      <c r="AF429" s="36" t="s">
        <v>204</v>
      </c>
      <c r="AG429" s="53" t="n">
        <f aca="false">AG434+AG437</f>
        <v>56.4628342857143</v>
      </c>
    </row>
    <row r="430" customFormat="false" ht="15" hidden="false" customHeight="false" outlineLevel="0" collapsed="false">
      <c r="N430" s="54" t="s">
        <v>295</v>
      </c>
      <c r="X430" s="14" t="s">
        <v>284</v>
      </c>
      <c r="Y430" s="14" t="s">
        <v>285</v>
      </c>
      <c r="AC430" s="36" t="s">
        <v>123</v>
      </c>
      <c r="AD430" s="36" t="s">
        <v>286</v>
      </c>
      <c r="AE430" s="36" t="s">
        <v>287</v>
      </c>
      <c r="AF430" s="36" t="s">
        <v>288</v>
      </c>
      <c r="AG430" s="36" t="s">
        <v>289</v>
      </c>
    </row>
    <row r="431" customFormat="false" ht="15" hidden="false" customHeight="false" outlineLevel="0" collapsed="false">
      <c r="N431" s="1" t="s">
        <v>1351</v>
      </c>
      <c r="R431" s="55" t="s">
        <v>204</v>
      </c>
      <c r="S431" s="56"/>
      <c r="T431" s="57" t="n">
        <v>1.98</v>
      </c>
      <c r="U431" s="28" t="n">
        <f aca="false">AG429</f>
        <v>56.4628342857143</v>
      </c>
      <c r="V431" s="28" t="n">
        <f aca="false">T431*U431</f>
        <v>111.796411885714</v>
      </c>
      <c r="Y431" s="54" t="s">
        <v>290</v>
      </c>
    </row>
    <row r="432" customFormat="false" ht="15" hidden="false" customHeight="false" outlineLevel="0" collapsed="false">
      <c r="N432" s="1" t="s">
        <v>463</v>
      </c>
      <c r="R432" s="55" t="s">
        <v>204</v>
      </c>
      <c r="T432" s="57" t="n">
        <v>0.682058823529412</v>
      </c>
      <c r="U432" s="28" t="n">
        <f aca="false">AG440</f>
        <v>77.2277048</v>
      </c>
      <c r="V432" s="28" t="n">
        <f aca="false">T432*U432</f>
        <v>52.6738374797647</v>
      </c>
      <c r="Y432" s="1" t="s">
        <v>651</v>
      </c>
      <c r="AC432" s="55" t="s">
        <v>292</v>
      </c>
      <c r="AD432" s="56" t="n">
        <v>0.1</v>
      </c>
      <c r="AE432" s="57" t="n">
        <f aca="false">AD432*8/$AA$429</f>
        <v>0.228571428571429</v>
      </c>
      <c r="AF432" s="1" t="n">
        <v>34.73</v>
      </c>
      <c r="AG432" s="28" t="n">
        <f aca="false">AE432*AF432</f>
        <v>7.93828571428572</v>
      </c>
    </row>
    <row r="433" customFormat="false" ht="15" hidden="false" customHeight="false" outlineLevel="0" collapsed="false">
      <c r="N433" s="1" t="s">
        <v>465</v>
      </c>
      <c r="R433" s="55" t="s">
        <v>204</v>
      </c>
      <c r="T433" s="57" t="n">
        <v>0.892941176470588</v>
      </c>
      <c r="U433" s="28" t="n">
        <f aca="false">AG457</f>
        <v>30.614538</v>
      </c>
      <c r="V433" s="28" t="n">
        <f aca="false">T433*U433</f>
        <v>27.3369815788235</v>
      </c>
      <c r="Y433" s="1" t="s">
        <v>294</v>
      </c>
      <c r="AC433" s="55" t="s">
        <v>292</v>
      </c>
      <c r="AD433" s="56" t="n">
        <v>1</v>
      </c>
      <c r="AE433" s="57" t="n">
        <f aca="false">AD433*8/$AA$429</f>
        <v>2.28571428571429</v>
      </c>
      <c r="AF433" s="1" t="n">
        <v>20.51</v>
      </c>
      <c r="AG433" s="28" t="n">
        <f aca="false">AE433*AF433</f>
        <v>46.88</v>
      </c>
    </row>
    <row r="434" customFormat="false" ht="15" hidden="false" customHeight="false" outlineLevel="0" collapsed="false">
      <c r="N434" s="1" t="s">
        <v>469</v>
      </c>
      <c r="R434" s="55" t="s">
        <v>204</v>
      </c>
      <c r="T434" s="57" t="n">
        <v>0.50625</v>
      </c>
      <c r="U434" s="28" t="n">
        <f aca="false">AG474</f>
        <v>12.11253</v>
      </c>
      <c r="V434" s="28" t="n">
        <f aca="false">T434*U434</f>
        <v>6.1319683125</v>
      </c>
      <c r="AG434" s="53" t="n">
        <f aca="false">SUM(AG432:AG433)</f>
        <v>54.8182857142857</v>
      </c>
    </row>
    <row r="435" customFormat="false" ht="15" hidden="false" customHeight="false" outlineLevel="0" collapsed="false">
      <c r="N435" s="1" t="s">
        <v>471</v>
      </c>
      <c r="R435" s="55" t="s">
        <v>204</v>
      </c>
      <c r="T435" s="57" t="n">
        <v>0.50625</v>
      </c>
      <c r="U435" s="28" t="n">
        <f aca="false">AG485</f>
        <v>22.9100074666667</v>
      </c>
      <c r="V435" s="28" t="n">
        <f aca="false">T435*U435</f>
        <v>11.59819128</v>
      </c>
      <c r="Y435" s="54" t="s">
        <v>318</v>
      </c>
    </row>
    <row r="436" customFormat="false" ht="15" hidden="false" customHeight="false" outlineLevel="0" collapsed="false">
      <c r="N436" s="1" t="s">
        <v>642</v>
      </c>
      <c r="R436" s="55" t="s">
        <v>145</v>
      </c>
      <c r="T436" s="57" t="n">
        <v>1</v>
      </c>
      <c r="U436" s="28" t="n">
        <f aca="false">AG498</f>
        <v>1489.7348144</v>
      </c>
      <c r="V436" s="28" t="n">
        <f aca="false">T436*U436</f>
        <v>1489.7348144</v>
      </c>
      <c r="Y436" s="1" t="s">
        <v>311</v>
      </c>
      <c r="AC436" s="55" t="s">
        <v>312</v>
      </c>
      <c r="AE436" s="57" t="n">
        <v>3</v>
      </c>
      <c r="AF436" s="28" t="n">
        <f aca="false">AG434</f>
        <v>54.8182857142857</v>
      </c>
      <c r="AG436" s="28" t="n">
        <f aca="false">AE436%*AF436</f>
        <v>1.64454857142857</v>
      </c>
    </row>
    <row r="437" customFormat="false" ht="15" hidden="false" customHeight="false" outlineLevel="0" collapsed="false">
      <c r="N437" s="1" t="s">
        <v>1352</v>
      </c>
      <c r="R437" s="55" t="s">
        <v>145</v>
      </c>
      <c r="T437" s="57" t="n">
        <v>1</v>
      </c>
      <c r="U437" s="28" t="n">
        <f aca="false">AG507</f>
        <v>1583.5817404</v>
      </c>
      <c r="V437" s="28" t="n">
        <f aca="false">T437*U437</f>
        <v>1583.5817404</v>
      </c>
      <c r="X437" s="60"/>
      <c r="Y437" s="60"/>
      <c r="Z437" s="60"/>
      <c r="AA437" s="60"/>
      <c r="AB437" s="60"/>
      <c r="AC437" s="62"/>
      <c r="AD437" s="63"/>
      <c r="AE437" s="64"/>
      <c r="AF437" s="65"/>
      <c r="AG437" s="61" t="n">
        <f aca="false">SUM(AG436:AG436)</f>
        <v>1.64454857142857</v>
      </c>
    </row>
    <row r="438" customFormat="false" ht="15" hidden="false" customHeight="false" outlineLevel="0" collapsed="false">
      <c r="N438" s="1" t="s">
        <v>646</v>
      </c>
      <c r="R438" s="55" t="s">
        <v>145</v>
      </c>
      <c r="T438" s="57" t="n">
        <v>1</v>
      </c>
      <c r="U438" s="28" t="n">
        <f aca="false">AG517</f>
        <v>107.845655777778</v>
      </c>
      <c r="V438" s="28" t="n">
        <f aca="false">T438*U438</f>
        <v>107.845655777778</v>
      </c>
    </row>
    <row r="439" customFormat="false" ht="15" hidden="false" customHeight="false" outlineLevel="0" collapsed="false">
      <c r="N439" s="1" t="s">
        <v>849</v>
      </c>
      <c r="R439" s="55" t="s">
        <v>145</v>
      </c>
      <c r="T439" s="57" t="n">
        <v>2.16060606060606</v>
      </c>
      <c r="U439" s="28" t="n">
        <f aca="false">AG659</f>
        <v>110.42</v>
      </c>
      <c r="V439" s="28" t="n">
        <f aca="false">T439*U439</f>
        <v>238.574121212121</v>
      </c>
      <c r="X439" s="14" t="s">
        <v>1358</v>
      </c>
      <c r="Y439" s="14"/>
      <c r="Z439" s="14" t="s">
        <v>463</v>
      </c>
      <c r="AA439" s="14"/>
      <c r="AB439" s="14"/>
      <c r="AC439" s="14"/>
      <c r="AD439" s="14"/>
      <c r="AE439" s="14"/>
      <c r="AF439" s="14"/>
    </row>
    <row r="440" customFormat="false" ht="15" hidden="false" customHeight="false" outlineLevel="0" collapsed="false">
      <c r="N440" s="1" t="s">
        <v>648</v>
      </c>
      <c r="R440" s="55" t="s">
        <v>145</v>
      </c>
      <c r="T440" s="57" t="n">
        <v>0.119318181818182</v>
      </c>
      <c r="U440" s="28" t="n">
        <f aca="false">AG666</f>
        <v>18.8570064</v>
      </c>
      <c r="V440" s="28" t="n">
        <f aca="false">T440*U440</f>
        <v>2.24998371818182</v>
      </c>
      <c r="X440" s="14" t="s">
        <v>279</v>
      </c>
      <c r="Y440" s="14" t="s">
        <v>417</v>
      </c>
      <c r="Z440" s="36" t="s">
        <v>281</v>
      </c>
      <c r="AA440" s="52" t="n">
        <v>25</v>
      </c>
      <c r="AB440" s="36" t="s">
        <v>282</v>
      </c>
      <c r="AC440" s="52" t="n">
        <f aca="false">AA440</f>
        <v>25</v>
      </c>
      <c r="AD440" s="14" t="s">
        <v>283</v>
      </c>
      <c r="AF440" s="36" t="s">
        <v>204</v>
      </c>
      <c r="AG440" s="53" t="n">
        <f aca="false">AG446+AG450+AG454</f>
        <v>77.2277048</v>
      </c>
    </row>
    <row r="441" customFormat="false" ht="15" hidden="false" customHeight="false" outlineLevel="0" collapsed="false">
      <c r="N441" s="1" t="s">
        <v>851</v>
      </c>
      <c r="R441" s="55" t="s">
        <v>134</v>
      </c>
      <c r="T441" s="57" t="n">
        <v>0.386363636363636</v>
      </c>
      <c r="U441" s="28" t="n">
        <f aca="false">AG681</f>
        <v>67.7683724615385</v>
      </c>
      <c r="V441" s="28" t="n">
        <f aca="false">T441*U441</f>
        <v>26.1832348146853</v>
      </c>
      <c r="X441" s="14" t="s">
        <v>284</v>
      </c>
      <c r="Y441" s="14" t="s">
        <v>285</v>
      </c>
      <c r="AC441" s="36" t="s">
        <v>123</v>
      </c>
      <c r="AD441" s="36" t="s">
        <v>286</v>
      </c>
      <c r="AE441" s="36" t="s">
        <v>287</v>
      </c>
      <c r="AF441" s="36" t="s">
        <v>288</v>
      </c>
      <c r="AG441" s="36" t="s">
        <v>289</v>
      </c>
    </row>
    <row r="442" customFormat="false" ht="15" hidden="false" customHeight="false" outlineLevel="0" collapsed="false">
      <c r="N442" s="1" t="s">
        <v>853</v>
      </c>
      <c r="R442" s="55" t="s">
        <v>134</v>
      </c>
      <c r="T442" s="57" t="n">
        <v>0.4</v>
      </c>
      <c r="U442" s="28" t="n">
        <f aca="false">AG701</f>
        <v>39.51</v>
      </c>
      <c r="V442" s="28" t="n">
        <f aca="false">T442*U442</f>
        <v>15.804</v>
      </c>
      <c r="Y442" s="54" t="s">
        <v>290</v>
      </c>
    </row>
    <row r="443" customFormat="false" ht="15" hidden="false" customHeight="false" outlineLevel="0" collapsed="false">
      <c r="N443" s="1" t="s">
        <v>855</v>
      </c>
      <c r="R443" s="55" t="s">
        <v>134</v>
      </c>
      <c r="T443" s="57" t="n">
        <v>5.6</v>
      </c>
      <c r="U443" s="28" t="n">
        <f aca="false">AG708</f>
        <v>17.38</v>
      </c>
      <c r="V443" s="28" t="n">
        <f aca="false">T443*U443</f>
        <v>97.328</v>
      </c>
      <c r="Y443" s="1" t="s">
        <v>651</v>
      </c>
      <c r="AC443" s="55" t="s">
        <v>292</v>
      </c>
      <c r="AD443" s="56" t="n">
        <v>0.1</v>
      </c>
      <c r="AE443" s="57" t="n">
        <f aca="false">AD443*8/$AA$440</f>
        <v>0.032</v>
      </c>
      <c r="AF443" s="1" t="n">
        <v>34.73</v>
      </c>
      <c r="AG443" s="28" t="n">
        <f aca="false">AE443*AF443</f>
        <v>1.11136</v>
      </c>
    </row>
    <row r="444" customFormat="false" ht="15" hidden="false" customHeight="false" outlineLevel="0" collapsed="false">
      <c r="M444" s="60"/>
      <c r="N444" s="60"/>
      <c r="O444" s="60"/>
      <c r="P444" s="60"/>
      <c r="Q444" s="60"/>
      <c r="R444" s="60"/>
      <c r="S444" s="60"/>
      <c r="T444" s="60"/>
      <c r="U444" s="60"/>
      <c r="V444" s="61" t="n">
        <f aca="false">SUM(V431:V443)</f>
        <v>3770.83894085957</v>
      </c>
      <c r="Y444" s="1" t="s">
        <v>664</v>
      </c>
      <c r="AC444" s="55" t="s">
        <v>292</v>
      </c>
      <c r="AD444" s="56" t="n">
        <v>1</v>
      </c>
      <c r="AE444" s="57" t="n">
        <f aca="false">AD444*8/$AA$440</f>
        <v>0.32</v>
      </c>
      <c r="AF444" s="1" t="n">
        <v>30.97</v>
      </c>
      <c r="AG444" s="28" t="n">
        <f aca="false">AE444*AF444</f>
        <v>9.9104</v>
      </c>
    </row>
    <row r="445" customFormat="false" ht="15" hidden="false" customHeight="false" outlineLevel="0" collapsed="false">
      <c r="Y445" s="1" t="s">
        <v>294</v>
      </c>
      <c r="AC445" s="55" t="s">
        <v>292</v>
      </c>
      <c r="AD445" s="56" t="n">
        <v>2</v>
      </c>
      <c r="AE445" s="57" t="n">
        <f aca="false">AD445*8/$AA$440</f>
        <v>0.64</v>
      </c>
      <c r="AF445" s="1" t="n">
        <v>20.51</v>
      </c>
      <c r="AG445" s="28" t="n">
        <f aca="false">AE445*AF445</f>
        <v>13.1264</v>
      </c>
    </row>
    <row r="446" customFormat="false" ht="15" hidden="false" customHeight="false" outlineLevel="0" collapsed="false">
      <c r="AG446" s="53" t="n">
        <f aca="false">SUM(AG443:AG445)</f>
        <v>24.14816</v>
      </c>
    </row>
    <row r="447" customFormat="false" ht="15" hidden="false" customHeight="false" outlineLevel="0" collapsed="false">
      <c r="Y447" s="54" t="s">
        <v>295</v>
      </c>
    </row>
    <row r="448" customFormat="false" ht="15" hidden="false" customHeight="false" outlineLevel="0" collapsed="false">
      <c r="Y448" s="1" t="s">
        <v>665</v>
      </c>
      <c r="AC448" s="55" t="s">
        <v>204</v>
      </c>
      <c r="AE448" s="57" t="n">
        <v>0.08</v>
      </c>
      <c r="AF448" s="1" t="n">
        <v>6.14</v>
      </c>
      <c r="AG448" s="28" t="n">
        <f aca="false">AE448*AF448</f>
        <v>0.4912</v>
      </c>
    </row>
    <row r="449" customFormat="false" ht="15" hidden="false" customHeight="false" outlineLevel="0" collapsed="false">
      <c r="Y449" s="1" t="s">
        <v>655</v>
      </c>
      <c r="AC449" s="55" t="s">
        <v>204</v>
      </c>
      <c r="AE449" s="57" t="n">
        <v>1.05</v>
      </c>
      <c r="AF449" s="1" t="n">
        <v>44.07</v>
      </c>
      <c r="AG449" s="28" t="n">
        <f aca="false">AE449*AF449</f>
        <v>46.2735</v>
      </c>
    </row>
    <row r="450" customFormat="false" ht="15" hidden="false" customHeight="false" outlineLevel="0" collapsed="false">
      <c r="AG450" s="53" t="n">
        <f aca="false">SUM(AG448:AG449)</f>
        <v>46.7647</v>
      </c>
    </row>
    <row r="451" customFormat="false" ht="15" hidden="false" customHeight="false" outlineLevel="0" collapsed="false">
      <c r="Y451" s="54" t="s">
        <v>318</v>
      </c>
    </row>
    <row r="452" customFormat="false" ht="15" hidden="false" customHeight="false" outlineLevel="0" collapsed="false">
      <c r="Y452" s="1" t="s">
        <v>311</v>
      </c>
      <c r="AC452" s="55" t="s">
        <v>312</v>
      </c>
      <c r="AE452" s="57" t="n">
        <v>3</v>
      </c>
      <c r="AF452" s="28" t="n">
        <f aca="false">AG446</f>
        <v>24.14816</v>
      </c>
      <c r="AG452" s="28" t="n">
        <f aca="false">AE452%*AF452</f>
        <v>0.7244448</v>
      </c>
    </row>
    <row r="453" customFormat="false" ht="15" hidden="false" customHeight="false" outlineLevel="0" collapsed="false">
      <c r="Y453" s="1" t="s">
        <v>657</v>
      </c>
      <c r="AC453" s="55" t="s">
        <v>338</v>
      </c>
      <c r="AD453" s="56" t="n">
        <v>1</v>
      </c>
      <c r="AE453" s="57" t="n">
        <f aca="false">AD453*8/$AA$440</f>
        <v>0.32</v>
      </c>
      <c r="AF453" s="1" t="n">
        <v>17.47</v>
      </c>
      <c r="AG453" s="28" t="n">
        <f aca="false">AE453*AF453</f>
        <v>5.5904</v>
      </c>
    </row>
    <row r="454" customFormat="false" ht="15" hidden="false" customHeight="false" outlineLevel="0" collapsed="false">
      <c r="X454" s="60"/>
      <c r="Y454" s="60"/>
      <c r="Z454" s="60"/>
      <c r="AA454" s="60"/>
      <c r="AB454" s="60"/>
      <c r="AC454" s="62"/>
      <c r="AD454" s="63"/>
      <c r="AE454" s="64"/>
      <c r="AF454" s="65"/>
      <c r="AG454" s="61" t="n">
        <f aca="false">SUM(AG452:AG453)</f>
        <v>6.3148448</v>
      </c>
    </row>
    <row r="456" customFormat="false" ht="15" hidden="false" customHeight="false" outlineLevel="0" collapsed="false">
      <c r="X456" s="14" t="s">
        <v>1358</v>
      </c>
      <c r="Y456" s="14"/>
      <c r="Z456" s="14" t="s">
        <v>465</v>
      </c>
      <c r="AA456" s="14"/>
      <c r="AB456" s="14"/>
      <c r="AC456" s="14"/>
      <c r="AD456" s="14"/>
      <c r="AE456" s="14"/>
      <c r="AF456" s="14"/>
    </row>
    <row r="457" customFormat="false" ht="15" hidden="false" customHeight="false" outlineLevel="0" collapsed="false">
      <c r="X457" s="14" t="s">
        <v>279</v>
      </c>
      <c r="Y457" s="14" t="s">
        <v>417</v>
      </c>
      <c r="Z457" s="36" t="s">
        <v>281</v>
      </c>
      <c r="AA457" s="52" t="n">
        <v>40</v>
      </c>
      <c r="AB457" s="36" t="s">
        <v>282</v>
      </c>
      <c r="AC457" s="52" t="n">
        <f aca="false">AA457</f>
        <v>40</v>
      </c>
      <c r="AD457" s="14" t="s">
        <v>283</v>
      </c>
      <c r="AF457" s="36" t="s">
        <v>204</v>
      </c>
      <c r="AG457" s="53" t="n">
        <f aca="false">AG463+AG466+AG471</f>
        <v>30.614538</v>
      </c>
    </row>
    <row r="458" customFormat="false" ht="15" hidden="false" customHeight="false" outlineLevel="0" collapsed="false">
      <c r="X458" s="14" t="s">
        <v>284</v>
      </c>
      <c r="Y458" s="14" t="s">
        <v>285</v>
      </c>
      <c r="AC458" s="36" t="s">
        <v>123</v>
      </c>
      <c r="AD458" s="36" t="s">
        <v>286</v>
      </c>
      <c r="AE458" s="36" t="s">
        <v>287</v>
      </c>
      <c r="AF458" s="36" t="s">
        <v>288</v>
      </c>
      <c r="AG458" s="36" t="s">
        <v>289</v>
      </c>
    </row>
    <row r="459" customFormat="false" ht="15" hidden="false" customHeight="false" outlineLevel="0" collapsed="false">
      <c r="Y459" s="54" t="s">
        <v>290</v>
      </c>
    </row>
    <row r="460" customFormat="false" ht="15" hidden="false" customHeight="false" outlineLevel="0" collapsed="false">
      <c r="Y460" s="1" t="s">
        <v>651</v>
      </c>
      <c r="AC460" s="55" t="s">
        <v>292</v>
      </c>
      <c r="AD460" s="56" t="n">
        <v>0.1</v>
      </c>
      <c r="AE460" s="57" t="n">
        <f aca="false">AD460*8/$AA$457</f>
        <v>0.02</v>
      </c>
      <c r="AF460" s="1" t="n">
        <v>34.73</v>
      </c>
      <c r="AG460" s="28" t="n">
        <f aca="false">AE460*AF460</f>
        <v>0.6946</v>
      </c>
    </row>
    <row r="461" customFormat="false" ht="15" hidden="false" customHeight="false" outlineLevel="0" collapsed="false">
      <c r="Y461" s="1" t="s">
        <v>664</v>
      </c>
      <c r="AC461" s="55" t="s">
        <v>292</v>
      </c>
      <c r="AD461" s="56" t="n">
        <v>1</v>
      </c>
      <c r="AE461" s="57" t="n">
        <f aca="false">AD461*8/$AA$457</f>
        <v>0.2</v>
      </c>
      <c r="AF461" s="1" t="n">
        <v>30.97</v>
      </c>
      <c r="AG461" s="28" t="n">
        <f aca="false">AE461*AF461</f>
        <v>6.194</v>
      </c>
    </row>
    <row r="462" customFormat="false" ht="15" hidden="false" customHeight="false" outlineLevel="0" collapsed="false">
      <c r="Y462" s="1" t="s">
        <v>294</v>
      </c>
      <c r="AC462" s="55" t="s">
        <v>292</v>
      </c>
      <c r="AD462" s="56" t="n">
        <v>3</v>
      </c>
      <c r="AE462" s="57" t="n">
        <f aca="false">AD462*8/$AA$457</f>
        <v>0.6</v>
      </c>
      <c r="AF462" s="1" t="n">
        <v>20.51</v>
      </c>
      <c r="AG462" s="28" t="n">
        <f aca="false">AE462*AF462</f>
        <v>12.306</v>
      </c>
    </row>
    <row r="463" customFormat="false" ht="15" hidden="false" customHeight="false" outlineLevel="0" collapsed="false">
      <c r="AG463" s="53" t="n">
        <f aca="false">SUM(AG460:AG462)</f>
        <v>19.1946</v>
      </c>
    </row>
    <row r="464" customFormat="false" ht="15" hidden="false" customHeight="false" outlineLevel="0" collapsed="false">
      <c r="Y464" s="54" t="s">
        <v>295</v>
      </c>
    </row>
    <row r="465" customFormat="false" ht="15" hidden="false" customHeight="false" outlineLevel="0" collapsed="false">
      <c r="Y465" s="1" t="s">
        <v>665</v>
      </c>
      <c r="AC465" s="55" t="s">
        <v>204</v>
      </c>
      <c r="AE465" s="57" t="n">
        <v>0.08</v>
      </c>
      <c r="AF465" s="1" t="n">
        <v>6.14</v>
      </c>
      <c r="AG465" s="28" t="n">
        <f aca="false">AE465*AF465</f>
        <v>0.4912</v>
      </c>
    </row>
    <row r="466" customFormat="false" ht="15" hidden="false" customHeight="false" outlineLevel="0" collapsed="false">
      <c r="AG466" s="53" t="n">
        <f aca="false">SUM(AG465:AG465)</f>
        <v>0.4912</v>
      </c>
    </row>
    <row r="467" customFormat="false" ht="15" hidden="false" customHeight="false" outlineLevel="0" collapsed="false">
      <c r="Y467" s="54" t="s">
        <v>318</v>
      </c>
    </row>
    <row r="468" customFormat="false" ht="15" hidden="false" customHeight="false" outlineLevel="0" collapsed="false">
      <c r="Y468" s="1" t="s">
        <v>311</v>
      </c>
      <c r="AC468" s="55" t="s">
        <v>312</v>
      </c>
      <c r="AE468" s="57" t="n">
        <v>3</v>
      </c>
      <c r="AF468" s="28" t="n">
        <f aca="false">AG463</f>
        <v>19.1946</v>
      </c>
      <c r="AG468" s="28" t="n">
        <f aca="false">AE468%*AF468</f>
        <v>0.575838</v>
      </c>
    </row>
    <row r="469" customFormat="false" ht="15" hidden="false" customHeight="false" outlineLevel="0" collapsed="false">
      <c r="Y469" s="102" t="s">
        <v>658</v>
      </c>
      <c r="AC469" s="55" t="s">
        <v>338</v>
      </c>
      <c r="AD469" s="56" t="n">
        <v>0.05</v>
      </c>
      <c r="AE469" s="57" t="n">
        <f aca="false">AD469*8/$AA$457</f>
        <v>0.01</v>
      </c>
      <c r="AF469" s="1" t="n">
        <v>167.49</v>
      </c>
      <c r="AG469" s="28" t="n">
        <f aca="false">AE469*AF469</f>
        <v>1.6749</v>
      </c>
    </row>
    <row r="470" customFormat="false" ht="15" hidden="false" customHeight="false" outlineLevel="0" collapsed="false">
      <c r="Y470" s="102" t="s">
        <v>1361</v>
      </c>
      <c r="AC470" s="55" t="s">
        <v>338</v>
      </c>
      <c r="AD470" s="56" t="n">
        <v>1</v>
      </c>
      <c r="AE470" s="57" t="n">
        <f aca="false">AD470*8/$AA$457</f>
        <v>0.2</v>
      </c>
      <c r="AF470" s="1" t="n">
        <v>43.39</v>
      </c>
      <c r="AG470" s="28" t="n">
        <f aca="false">AE470*AF470</f>
        <v>8.678</v>
      </c>
    </row>
    <row r="471" customFormat="false" ht="15" hidden="false" customHeight="false" outlineLevel="0" collapsed="false">
      <c r="X471" s="60"/>
      <c r="Y471" s="60"/>
      <c r="Z471" s="60"/>
      <c r="AA471" s="60"/>
      <c r="AB471" s="60"/>
      <c r="AC471" s="62"/>
      <c r="AD471" s="63"/>
      <c r="AE471" s="64"/>
      <c r="AF471" s="65"/>
      <c r="AG471" s="61" t="n">
        <f aca="false">SUM(AG468:AG470)</f>
        <v>10.928738</v>
      </c>
    </row>
    <row r="473" customFormat="false" ht="15" hidden="false" customHeight="false" outlineLevel="0" collapsed="false">
      <c r="X473" s="14" t="s">
        <v>278</v>
      </c>
      <c r="Y473" s="14"/>
      <c r="Z473" s="14" t="s">
        <v>469</v>
      </c>
      <c r="AA473" s="14"/>
    </row>
    <row r="474" customFormat="false" ht="15" hidden="false" customHeight="false" outlineLevel="0" collapsed="false">
      <c r="X474" s="14" t="s">
        <v>279</v>
      </c>
      <c r="Y474" s="14" t="s">
        <v>314</v>
      </c>
      <c r="Z474" s="36" t="s">
        <v>281</v>
      </c>
      <c r="AA474" s="52" t="n">
        <v>80</v>
      </c>
      <c r="AB474" s="36" t="s">
        <v>282</v>
      </c>
      <c r="AC474" s="52" t="n">
        <f aca="false">AA474</f>
        <v>80</v>
      </c>
      <c r="AD474" s="14" t="s">
        <v>283</v>
      </c>
      <c r="AF474" s="36" t="s">
        <v>145</v>
      </c>
      <c r="AG474" s="53" t="n">
        <f aca="false">AG478+AG482</f>
        <v>12.11253</v>
      </c>
    </row>
    <row r="475" customFormat="false" ht="15" hidden="false" customHeight="false" outlineLevel="0" collapsed="false">
      <c r="X475" s="14" t="s">
        <v>284</v>
      </c>
      <c r="Y475" s="14" t="s">
        <v>285</v>
      </c>
      <c r="AC475" s="36" t="s">
        <v>123</v>
      </c>
      <c r="AD475" s="36" t="s">
        <v>286</v>
      </c>
      <c r="AE475" s="36" t="s">
        <v>287</v>
      </c>
      <c r="AF475" s="36" t="s">
        <v>288</v>
      </c>
      <c r="AG475" s="36" t="s">
        <v>289</v>
      </c>
    </row>
    <row r="476" customFormat="false" ht="15" hidden="false" customHeight="false" outlineLevel="0" collapsed="false">
      <c r="Y476" s="54" t="s">
        <v>290</v>
      </c>
    </row>
    <row r="477" customFormat="false" ht="15" hidden="false" customHeight="false" outlineLevel="0" collapsed="false">
      <c r="Y477" s="1" t="s">
        <v>294</v>
      </c>
      <c r="AC477" s="55" t="s">
        <v>292</v>
      </c>
      <c r="AD477" s="56" t="n">
        <v>1</v>
      </c>
      <c r="AE477" s="57" t="n">
        <f aca="false">AD477*8/$AA$474</f>
        <v>0.1</v>
      </c>
      <c r="AF477" s="1" t="n">
        <v>20.51</v>
      </c>
      <c r="AG477" s="28" t="n">
        <f aca="false">AE477*AF477</f>
        <v>2.051</v>
      </c>
    </row>
    <row r="478" customFormat="false" ht="15" hidden="false" customHeight="false" outlineLevel="0" collapsed="false">
      <c r="AC478" s="55"/>
      <c r="AD478" s="56"/>
      <c r="AE478" s="57"/>
      <c r="AG478" s="53" t="n">
        <f aca="false">SUM(AG477:AG477)</f>
        <v>2.051</v>
      </c>
    </row>
    <row r="479" customFormat="false" ht="15" hidden="false" customHeight="false" outlineLevel="0" collapsed="false">
      <c r="Y479" s="54" t="s">
        <v>310</v>
      </c>
    </row>
    <row r="480" customFormat="false" ht="15" hidden="false" customHeight="false" outlineLevel="0" collapsed="false">
      <c r="Y480" s="1" t="s">
        <v>311</v>
      </c>
      <c r="AC480" s="55" t="s">
        <v>312</v>
      </c>
      <c r="AE480" s="57" t="n">
        <v>3</v>
      </c>
      <c r="AF480" s="28" t="n">
        <f aca="false">AG478</f>
        <v>2.051</v>
      </c>
      <c r="AG480" s="28" t="n">
        <f aca="false">AE480%*AF480</f>
        <v>0.06153</v>
      </c>
    </row>
    <row r="481" customFormat="false" ht="15" hidden="false" customHeight="false" outlineLevel="0" collapsed="false">
      <c r="Y481" s="1" t="s">
        <v>661</v>
      </c>
      <c r="AC481" s="55" t="s">
        <v>338</v>
      </c>
      <c r="AD481" s="56" t="n">
        <v>1</v>
      </c>
      <c r="AE481" s="57" t="n">
        <f aca="false">AD481*8/$AA$474</f>
        <v>0.1</v>
      </c>
      <c r="AF481" s="1" t="n">
        <v>100</v>
      </c>
      <c r="AG481" s="28" t="n">
        <f aca="false">AE481*AF481</f>
        <v>10</v>
      </c>
    </row>
    <row r="482" customFormat="false" ht="15" hidden="false" customHeight="false" outlineLevel="0" collapsed="false">
      <c r="X482" s="60"/>
      <c r="Y482" s="60"/>
      <c r="Z482" s="60"/>
      <c r="AA482" s="60"/>
      <c r="AB482" s="60"/>
      <c r="AC482" s="60"/>
      <c r="AD482" s="60"/>
      <c r="AE482" s="60"/>
      <c r="AF482" s="80"/>
      <c r="AG482" s="61" t="n">
        <f aca="false">SUM(AG480:AG481)</f>
        <v>10.06153</v>
      </c>
    </row>
    <row r="484" customFormat="false" ht="15" hidden="false" customHeight="false" outlineLevel="0" collapsed="false">
      <c r="X484" s="14" t="s">
        <v>278</v>
      </c>
      <c r="Y484" s="14"/>
      <c r="Z484" s="14" t="s">
        <v>471</v>
      </c>
      <c r="AA484" s="14"/>
    </row>
    <row r="485" customFormat="false" ht="15" hidden="false" customHeight="false" outlineLevel="0" collapsed="false">
      <c r="X485" s="14" t="s">
        <v>279</v>
      </c>
      <c r="Y485" s="14" t="s">
        <v>417</v>
      </c>
      <c r="Z485" s="36" t="s">
        <v>281</v>
      </c>
      <c r="AA485" s="52" t="n">
        <v>187.5</v>
      </c>
      <c r="AB485" s="36" t="s">
        <v>282</v>
      </c>
      <c r="AC485" s="52" t="n">
        <f aca="false">AA485</f>
        <v>187.5</v>
      </c>
      <c r="AD485" s="14" t="s">
        <v>283</v>
      </c>
      <c r="AF485" s="36" t="s">
        <v>204</v>
      </c>
      <c r="AG485" s="53" t="n">
        <f aca="false">AG490+AG495</f>
        <v>22.9100074666667</v>
      </c>
    </row>
    <row r="486" customFormat="false" ht="15" hidden="false" customHeight="false" outlineLevel="0" collapsed="false">
      <c r="X486" s="14" t="s">
        <v>284</v>
      </c>
      <c r="Y486" s="14" t="s">
        <v>285</v>
      </c>
      <c r="AC486" s="36" t="s">
        <v>123</v>
      </c>
      <c r="AD486" s="36" t="s">
        <v>286</v>
      </c>
      <c r="AE486" s="36" t="s">
        <v>287</v>
      </c>
      <c r="AF486" s="36" t="s">
        <v>288</v>
      </c>
      <c r="AG486" s="36" t="s">
        <v>289</v>
      </c>
      <c r="AJ486" s="1" t="s">
        <v>1362</v>
      </c>
    </row>
    <row r="487" customFormat="false" ht="15" hidden="false" customHeight="false" outlineLevel="0" collapsed="false">
      <c r="Y487" s="54" t="s">
        <v>290</v>
      </c>
    </row>
    <row r="488" customFormat="false" ht="15" hidden="false" customHeight="false" outlineLevel="0" collapsed="false">
      <c r="Y488" s="1" t="s">
        <v>293</v>
      </c>
      <c r="AC488" s="55" t="s">
        <v>292</v>
      </c>
      <c r="AD488" s="56" t="n">
        <v>1</v>
      </c>
      <c r="AE488" s="57" t="n">
        <f aca="false">AD488*8/$AA$485</f>
        <v>0.0426666666666667</v>
      </c>
      <c r="AF488" s="1" t="n">
        <v>23.6</v>
      </c>
      <c r="AG488" s="28" t="n">
        <f aca="false">AE488*AF488</f>
        <v>1.00693333333333</v>
      </c>
    </row>
    <row r="489" customFormat="false" ht="15" hidden="false" customHeight="false" outlineLevel="0" collapsed="false">
      <c r="Y489" s="1" t="s">
        <v>294</v>
      </c>
      <c r="AC489" s="55" t="s">
        <v>292</v>
      </c>
      <c r="AD489" s="56" t="n">
        <v>1</v>
      </c>
      <c r="AE489" s="57" t="n">
        <f aca="false">AD489*8/$AA$485</f>
        <v>0.0426666666666667</v>
      </c>
      <c r="AF489" s="1" t="n">
        <v>20.51</v>
      </c>
      <c r="AG489" s="28" t="n">
        <f aca="false">AE489*AF489</f>
        <v>0.875093333333333</v>
      </c>
    </row>
    <row r="490" customFormat="false" ht="15" hidden="false" customHeight="false" outlineLevel="0" collapsed="false">
      <c r="AC490" s="55"/>
      <c r="AD490" s="56"/>
      <c r="AE490" s="57"/>
      <c r="AG490" s="53" t="n">
        <f aca="false">SUM(AG488:AG489)</f>
        <v>1.88202666666667</v>
      </c>
    </row>
    <row r="491" customFormat="false" ht="15" hidden="false" customHeight="false" outlineLevel="0" collapsed="false">
      <c r="Y491" s="54" t="s">
        <v>310</v>
      </c>
    </row>
    <row r="492" customFormat="false" ht="15" hidden="false" customHeight="false" outlineLevel="0" collapsed="false">
      <c r="Y492" s="1" t="s">
        <v>311</v>
      </c>
      <c r="AC492" s="55" t="s">
        <v>312</v>
      </c>
      <c r="AE492" s="57" t="n">
        <v>3</v>
      </c>
      <c r="AF492" s="28" t="n">
        <f aca="false">AG490</f>
        <v>1.88202666666667</v>
      </c>
      <c r="AG492" s="28" t="n">
        <f aca="false">AE492%*AF492</f>
        <v>0.0564608</v>
      </c>
    </row>
    <row r="493" customFormat="false" ht="15" hidden="false" customHeight="false" outlineLevel="0" collapsed="false">
      <c r="Y493" s="1" t="s">
        <v>662</v>
      </c>
      <c r="AC493" s="55" t="s">
        <v>338</v>
      </c>
      <c r="AD493" s="56" t="n">
        <v>1</v>
      </c>
      <c r="AE493" s="57" t="n">
        <f aca="false">AD493*8/$AA$485</f>
        <v>0.0426666666666667</v>
      </c>
      <c r="AF493" s="28" t="n">
        <v>118.64</v>
      </c>
      <c r="AG493" s="28" t="n">
        <f aca="false">AE493*AF493</f>
        <v>5.06197333333333</v>
      </c>
    </row>
    <row r="494" customFormat="false" ht="15" hidden="false" customHeight="false" outlineLevel="0" collapsed="false">
      <c r="Y494" s="1" t="s">
        <v>663</v>
      </c>
      <c r="AC494" s="55" t="s">
        <v>338</v>
      </c>
      <c r="AD494" s="56" t="n">
        <v>2</v>
      </c>
      <c r="AE494" s="57" t="n">
        <f aca="false">AD494*8/$AA$485</f>
        <v>0.0853333333333333</v>
      </c>
      <c r="AF494" s="28" t="n">
        <v>186.44</v>
      </c>
      <c r="AG494" s="28" t="n">
        <f aca="false">AE494*AF494</f>
        <v>15.9095466666667</v>
      </c>
    </row>
    <row r="495" customFormat="false" ht="15" hidden="false" customHeight="false" outlineLevel="0" collapsed="false">
      <c r="X495" s="60"/>
      <c r="Y495" s="60"/>
      <c r="Z495" s="60"/>
      <c r="AA495" s="60"/>
      <c r="AB495" s="60"/>
      <c r="AC495" s="60"/>
      <c r="AD495" s="60"/>
      <c r="AE495" s="60"/>
      <c r="AF495" s="80"/>
      <c r="AG495" s="61" t="n">
        <f aca="false">SUM(AG492:AG494)</f>
        <v>21.0279808</v>
      </c>
    </row>
    <row r="497" customFormat="false" ht="15" hidden="false" customHeight="false" outlineLevel="0" collapsed="false">
      <c r="X497" s="14" t="s">
        <v>278</v>
      </c>
      <c r="Y497" s="14"/>
      <c r="Z497" s="14" t="s">
        <v>642</v>
      </c>
      <c r="AA497" s="14"/>
      <c r="AJ497" s="82" t="s">
        <v>278</v>
      </c>
      <c r="AK497" s="82"/>
      <c r="AL497" s="82" t="s">
        <v>736</v>
      </c>
      <c r="AM497" s="82"/>
    </row>
    <row r="498" customFormat="false" ht="15" hidden="false" customHeight="false" outlineLevel="0" collapsed="false">
      <c r="X498" s="14" t="s">
        <v>279</v>
      </c>
      <c r="Y498" s="14" t="s">
        <v>417</v>
      </c>
      <c r="Z498" s="36" t="s">
        <v>281</v>
      </c>
      <c r="AA498" s="52" t="n">
        <v>187.5</v>
      </c>
      <c r="AB498" s="36" t="s">
        <v>282</v>
      </c>
      <c r="AC498" s="52" t="n">
        <f aca="false">AA498</f>
        <v>187.5</v>
      </c>
      <c r="AD498" s="14" t="s">
        <v>283</v>
      </c>
      <c r="AF498" s="36" t="s">
        <v>204</v>
      </c>
      <c r="AG498" s="53" t="n">
        <f aca="false">AG504</f>
        <v>1489.7348144</v>
      </c>
      <c r="AJ498" s="82" t="s">
        <v>279</v>
      </c>
      <c r="AK498" s="82" t="s">
        <v>280</v>
      </c>
      <c r="AL498" s="84" t="s">
        <v>281</v>
      </c>
      <c r="AM498" s="85" t="n">
        <v>10</v>
      </c>
      <c r="AN498" s="84" t="s">
        <v>282</v>
      </c>
      <c r="AO498" s="85" t="n">
        <f aca="false">AM498</f>
        <v>10</v>
      </c>
      <c r="AP498" s="82" t="s">
        <v>283</v>
      </c>
      <c r="AR498" s="84" t="s">
        <v>134</v>
      </c>
      <c r="AS498" s="86" t="n">
        <f aca="false">AS504+AS509+AS512</f>
        <v>76.55778</v>
      </c>
    </row>
    <row r="499" customFormat="false" ht="15" hidden="false" customHeight="false" outlineLevel="0" collapsed="false">
      <c r="X499" s="14" t="s">
        <v>284</v>
      </c>
      <c r="Y499" s="14" t="s">
        <v>285</v>
      </c>
      <c r="AC499" s="36" t="s">
        <v>123</v>
      </c>
      <c r="AD499" s="36" t="s">
        <v>286</v>
      </c>
      <c r="AE499" s="36" t="s">
        <v>287</v>
      </c>
      <c r="AF499" s="36" t="s">
        <v>288</v>
      </c>
      <c r="AG499" s="36" t="s">
        <v>289</v>
      </c>
      <c r="AJ499" s="82" t="s">
        <v>284</v>
      </c>
      <c r="AK499" s="82" t="s">
        <v>285</v>
      </c>
      <c r="AO499" s="84" t="s">
        <v>123</v>
      </c>
      <c r="AP499" s="84" t="s">
        <v>286</v>
      </c>
      <c r="AQ499" s="84" t="s">
        <v>287</v>
      </c>
      <c r="AR499" s="84" t="s">
        <v>288</v>
      </c>
      <c r="AS499" s="84" t="s">
        <v>289</v>
      </c>
    </row>
    <row r="500" customFormat="false" ht="15" hidden="false" customHeight="false" outlineLevel="0" collapsed="false">
      <c r="Y500" s="54" t="s">
        <v>737</v>
      </c>
      <c r="AK500" s="87" t="s">
        <v>290</v>
      </c>
    </row>
    <row r="501" customFormat="false" ht="15" hidden="false" customHeight="false" outlineLevel="0" collapsed="false">
      <c r="Y501" s="1" t="s">
        <v>736</v>
      </c>
      <c r="AC501" s="55" t="s">
        <v>134</v>
      </c>
      <c r="AE501" s="57" t="n">
        <v>6.88</v>
      </c>
      <c r="AF501" s="28" t="n">
        <f aca="false">AS498</f>
        <v>76.55778</v>
      </c>
      <c r="AG501" s="28" t="n">
        <f aca="false">AE501*AF501</f>
        <v>526.7175264</v>
      </c>
      <c r="AK501" s="1" t="s">
        <v>291</v>
      </c>
      <c r="AO501" s="55" t="s">
        <v>292</v>
      </c>
      <c r="AP501" s="56" t="n">
        <v>1</v>
      </c>
      <c r="AQ501" s="57" t="n">
        <f aca="false">AP501*8/$AM$498</f>
        <v>0.8</v>
      </c>
      <c r="AR501" s="28" t="n">
        <v>28.94</v>
      </c>
      <c r="AS501" s="28" t="n">
        <f aca="false">AQ501*AR501</f>
        <v>23.152</v>
      </c>
    </row>
    <row r="502" customFormat="false" ht="15" hidden="false" customHeight="false" outlineLevel="0" collapsed="false">
      <c r="Y502" s="1" t="s">
        <v>738</v>
      </c>
      <c r="AC502" s="55" t="s">
        <v>204</v>
      </c>
      <c r="AD502" s="56"/>
      <c r="AE502" s="57" t="n">
        <v>0.95</v>
      </c>
      <c r="AF502" s="28" t="n">
        <f aca="false">AS515</f>
        <v>469.75504</v>
      </c>
      <c r="AG502" s="28" t="n">
        <f aca="false">AE502*AF502</f>
        <v>446.267288</v>
      </c>
      <c r="AK502" s="1" t="s">
        <v>293</v>
      </c>
      <c r="AO502" s="55" t="s">
        <v>292</v>
      </c>
      <c r="AP502" s="56" t="n">
        <v>1</v>
      </c>
      <c r="AQ502" s="57" t="n">
        <f aca="false">AP502*8/$AM$498</f>
        <v>0.8</v>
      </c>
      <c r="AR502" s="28" t="n">
        <v>23.6</v>
      </c>
      <c r="AS502" s="28" t="n">
        <f aca="false">AQ502*AR502</f>
        <v>18.88</v>
      </c>
    </row>
    <row r="503" customFormat="false" ht="15" hidden="false" customHeight="false" outlineLevel="0" collapsed="false">
      <c r="Y503" s="1" t="s">
        <v>739</v>
      </c>
      <c r="AC503" s="55" t="s">
        <v>297</v>
      </c>
      <c r="AE503" s="1" t="n">
        <v>79.5</v>
      </c>
      <c r="AF503" s="28" t="n">
        <v>6.5</v>
      </c>
      <c r="AG503" s="28" t="n">
        <f aca="false">AE503*AF503</f>
        <v>516.75</v>
      </c>
      <c r="AK503" s="1" t="s">
        <v>294</v>
      </c>
      <c r="AO503" s="55" t="s">
        <v>292</v>
      </c>
      <c r="AP503" s="56" t="n">
        <v>0.5</v>
      </c>
      <c r="AQ503" s="57" t="n">
        <f aca="false">AP503*8/$AM$498</f>
        <v>0.4</v>
      </c>
      <c r="AR503" s="28" t="n">
        <v>21.36</v>
      </c>
      <c r="AS503" s="28" t="n">
        <f aca="false">AQ503*AR503</f>
        <v>8.544</v>
      </c>
    </row>
    <row r="504" customFormat="false" ht="15" hidden="false" customHeight="false" outlineLevel="0" collapsed="false">
      <c r="X504" s="60"/>
      <c r="Y504" s="60"/>
      <c r="Z504" s="60"/>
      <c r="AA504" s="60"/>
      <c r="AB504" s="60"/>
      <c r="AC504" s="60"/>
      <c r="AD504" s="60"/>
      <c r="AE504" s="60"/>
      <c r="AF504" s="80"/>
      <c r="AG504" s="61" t="n">
        <f aca="false">SUM(AG501:AG503)</f>
        <v>1489.7348144</v>
      </c>
      <c r="AO504" s="55"/>
      <c r="AP504" s="56"/>
      <c r="AQ504" s="57"/>
      <c r="AS504" s="86" t="n">
        <f aca="false">SUM(AS501:AS503)</f>
        <v>50.576</v>
      </c>
    </row>
    <row r="505" customFormat="false" ht="15" hidden="false" customHeight="false" outlineLevel="0" collapsed="false">
      <c r="AK505" s="87" t="s">
        <v>654</v>
      </c>
      <c r="AO505" s="55"/>
      <c r="AP505" s="56"/>
      <c r="AQ505" s="57"/>
      <c r="AS505" s="28"/>
    </row>
    <row r="506" customFormat="false" ht="15" hidden="false" customHeight="false" outlineLevel="0" collapsed="false">
      <c r="X506" s="14" t="s">
        <v>278</v>
      </c>
      <c r="Y506" s="14"/>
      <c r="Z506" s="14" t="s">
        <v>740</v>
      </c>
      <c r="AA506" s="14"/>
      <c r="AK506" s="1" t="s">
        <v>689</v>
      </c>
      <c r="AO506" s="55" t="s">
        <v>297</v>
      </c>
      <c r="AQ506" s="57" t="n">
        <v>0.1</v>
      </c>
      <c r="AR506" s="28" t="n">
        <v>2.64</v>
      </c>
      <c r="AS506" s="28" t="n">
        <f aca="false">AQ506*AR506</f>
        <v>0.264</v>
      </c>
    </row>
    <row r="507" customFormat="false" ht="15" hidden="false" customHeight="false" outlineLevel="0" collapsed="false">
      <c r="X507" s="14" t="s">
        <v>279</v>
      </c>
      <c r="Y507" s="14" t="s">
        <v>417</v>
      </c>
      <c r="Z507" s="36" t="s">
        <v>281</v>
      </c>
      <c r="AA507" s="52" t="n">
        <v>187.5</v>
      </c>
      <c r="AB507" s="36" t="s">
        <v>282</v>
      </c>
      <c r="AC507" s="52" t="n">
        <f aca="false">AA507</f>
        <v>187.5</v>
      </c>
      <c r="AD507" s="14" t="s">
        <v>283</v>
      </c>
      <c r="AF507" s="36" t="s">
        <v>204</v>
      </c>
      <c r="AG507" s="53" t="n">
        <f aca="false">AG513</f>
        <v>1583.5817404</v>
      </c>
      <c r="AK507" s="1" t="s">
        <v>302</v>
      </c>
      <c r="AO507" s="55" t="s">
        <v>297</v>
      </c>
      <c r="AQ507" s="57" t="n">
        <v>0.15</v>
      </c>
      <c r="AR507" s="28" t="n">
        <v>5.51</v>
      </c>
      <c r="AS507" s="28" t="n">
        <f aca="false">AQ507*AR507</f>
        <v>0.8265</v>
      </c>
    </row>
    <row r="508" customFormat="false" ht="15" hidden="false" customHeight="false" outlineLevel="0" collapsed="false">
      <c r="X508" s="14" t="s">
        <v>284</v>
      </c>
      <c r="Y508" s="14" t="s">
        <v>285</v>
      </c>
      <c r="AC508" s="36" t="s">
        <v>123</v>
      </c>
      <c r="AD508" s="36" t="s">
        <v>286</v>
      </c>
      <c r="AE508" s="36" t="s">
        <v>287</v>
      </c>
      <c r="AF508" s="36" t="s">
        <v>288</v>
      </c>
      <c r="AG508" s="36" t="s">
        <v>289</v>
      </c>
      <c r="AK508" s="1" t="s">
        <v>670</v>
      </c>
      <c r="AO508" s="55" t="s">
        <v>306</v>
      </c>
      <c r="AQ508" s="57" t="n">
        <v>4.03</v>
      </c>
      <c r="AR508" s="28" t="n">
        <v>5.8</v>
      </c>
      <c r="AS508" s="28" t="n">
        <f aca="false">AQ508*AR508</f>
        <v>23.374</v>
      </c>
    </row>
    <row r="509" customFormat="false" ht="15" hidden="false" customHeight="false" outlineLevel="0" collapsed="false">
      <c r="Y509" s="54" t="s">
        <v>737</v>
      </c>
      <c r="AO509" s="55"/>
      <c r="AQ509" s="57"/>
      <c r="AR509" s="28"/>
      <c r="AS509" s="86" t="n">
        <f aca="false">SUM(AS506:AS508)</f>
        <v>24.4645</v>
      </c>
    </row>
    <row r="510" customFormat="false" ht="15" hidden="false" customHeight="false" outlineLevel="0" collapsed="false">
      <c r="Y510" s="1" t="s">
        <v>1363</v>
      </c>
      <c r="AC510" s="55" t="s">
        <v>134</v>
      </c>
      <c r="AE510" s="1" t="n">
        <v>6.88</v>
      </c>
      <c r="AF510" s="28" t="n">
        <f aca="false">AS549</f>
        <v>79.24338</v>
      </c>
      <c r="AG510" s="28" t="n">
        <f aca="false">AE510*AF510</f>
        <v>545.1944544</v>
      </c>
      <c r="AK510" s="87" t="s">
        <v>310</v>
      </c>
    </row>
    <row r="511" customFormat="false" ht="15" hidden="false" customHeight="false" outlineLevel="0" collapsed="false">
      <c r="Y511" s="1" t="s">
        <v>1364</v>
      </c>
      <c r="AC511" s="55" t="s">
        <v>204</v>
      </c>
      <c r="AD511" s="56"/>
      <c r="AE511" s="1" t="n">
        <v>0.95</v>
      </c>
      <c r="AF511" s="28" t="n">
        <f aca="false">AS566</f>
        <v>549.09188</v>
      </c>
      <c r="AG511" s="28" t="n">
        <f aca="false">AE511*AF511</f>
        <v>521.637286</v>
      </c>
      <c r="AK511" s="1" t="s">
        <v>311</v>
      </c>
      <c r="AO511" s="55" t="s">
        <v>312</v>
      </c>
      <c r="AQ511" s="57" t="n">
        <v>3</v>
      </c>
      <c r="AR511" s="28" t="n">
        <f aca="false">AS504</f>
        <v>50.576</v>
      </c>
      <c r="AS511" s="28" t="n">
        <f aca="false">AQ511%*AR511</f>
        <v>1.51728</v>
      </c>
    </row>
    <row r="512" customFormat="false" ht="15" hidden="false" customHeight="false" outlineLevel="0" collapsed="false">
      <c r="Y512" s="1" t="s">
        <v>1365</v>
      </c>
      <c r="AC512" s="55" t="s">
        <v>297</v>
      </c>
      <c r="AE512" s="1" t="n">
        <v>79.5</v>
      </c>
      <c r="AF512" s="28" t="n">
        <v>6.5</v>
      </c>
      <c r="AG512" s="28" t="n">
        <f aca="false">AE512*AF512</f>
        <v>516.75</v>
      </c>
      <c r="AJ512" s="60"/>
      <c r="AK512" s="60"/>
      <c r="AL512" s="60"/>
      <c r="AM512" s="60"/>
      <c r="AN512" s="60"/>
      <c r="AO512" s="60"/>
      <c r="AP512" s="60"/>
      <c r="AQ512" s="60"/>
      <c r="AR512" s="60"/>
      <c r="AS512" s="89" t="n">
        <f aca="false">SUM(AS511)</f>
        <v>1.51728</v>
      </c>
    </row>
    <row r="513" customFormat="false" ht="15" hidden="false" customHeight="false" outlineLevel="0" collapsed="false">
      <c r="X513" s="60"/>
      <c r="Y513" s="60"/>
      <c r="Z513" s="60"/>
      <c r="AA513" s="60"/>
      <c r="AB513" s="60"/>
      <c r="AC513" s="60"/>
      <c r="AD513" s="60"/>
      <c r="AE513" s="60"/>
      <c r="AF513" s="80"/>
      <c r="AG513" s="61" t="n">
        <f aca="false">SUM(AG510:AG512)</f>
        <v>1583.5817404</v>
      </c>
    </row>
    <row r="514" customFormat="false" ht="15" hidden="false" customHeight="false" outlineLevel="0" collapsed="false">
      <c r="AJ514" s="82" t="s">
        <v>278</v>
      </c>
      <c r="AK514" s="82"/>
      <c r="AL514" s="82" t="s">
        <v>738</v>
      </c>
      <c r="AM514" s="82"/>
    </row>
    <row r="515" customFormat="false" ht="15" hidden="false" customHeight="false" outlineLevel="0" collapsed="false">
      <c r="AC515" s="55"/>
      <c r="AJ515" s="82" t="s">
        <v>279</v>
      </c>
      <c r="AK515" s="82" t="s">
        <v>417</v>
      </c>
      <c r="AL515" s="84" t="s">
        <v>281</v>
      </c>
      <c r="AM515" s="85" t="n">
        <v>20</v>
      </c>
      <c r="AN515" s="84" t="s">
        <v>282</v>
      </c>
      <c r="AO515" s="85" t="n">
        <f aca="false">AM515</f>
        <v>20</v>
      </c>
      <c r="AP515" s="82" t="s">
        <v>283</v>
      </c>
      <c r="AR515" s="84" t="s">
        <v>204</v>
      </c>
      <c r="AS515" s="86" t="n">
        <f aca="false">AS521+AS526+AS530</f>
        <v>469.75504</v>
      </c>
    </row>
    <row r="516" customFormat="false" ht="15" hidden="false" customHeight="false" outlineLevel="0" collapsed="false">
      <c r="X516" s="14" t="s">
        <v>278</v>
      </c>
      <c r="Y516" s="14"/>
      <c r="Z516" s="14" t="s">
        <v>646</v>
      </c>
      <c r="AA516" s="14"/>
      <c r="AJ516" s="82" t="s">
        <v>284</v>
      </c>
      <c r="AK516" s="82" t="s">
        <v>285</v>
      </c>
      <c r="AO516" s="84" t="s">
        <v>123</v>
      </c>
      <c r="AP516" s="84" t="s">
        <v>286</v>
      </c>
      <c r="AQ516" s="84" t="s">
        <v>287</v>
      </c>
      <c r="AR516" s="84" t="s">
        <v>288</v>
      </c>
      <c r="AS516" s="84" t="s">
        <v>289</v>
      </c>
    </row>
    <row r="517" customFormat="false" ht="15" hidden="false" customHeight="false" outlineLevel="0" collapsed="false">
      <c r="X517" s="14" t="s">
        <v>279</v>
      </c>
      <c r="Y517" s="14" t="s">
        <v>417</v>
      </c>
      <c r="Z517" s="36" t="s">
        <v>281</v>
      </c>
      <c r="AA517" s="52" t="n">
        <v>187.5</v>
      </c>
      <c r="AB517" s="36" t="s">
        <v>282</v>
      </c>
      <c r="AC517" s="52" t="n">
        <f aca="false">AA517</f>
        <v>187.5</v>
      </c>
      <c r="AD517" s="14" t="s">
        <v>283</v>
      </c>
      <c r="AF517" s="36" t="s">
        <v>204</v>
      </c>
      <c r="AG517" s="53" t="n">
        <f aca="false">AG523</f>
        <v>107.845655777778</v>
      </c>
      <c r="AK517" s="87" t="s">
        <v>290</v>
      </c>
    </row>
    <row r="518" customFormat="false" ht="15" hidden="false" customHeight="false" outlineLevel="0" collapsed="false">
      <c r="X518" s="14" t="s">
        <v>284</v>
      </c>
      <c r="Y518" s="14" t="s">
        <v>285</v>
      </c>
      <c r="AC518" s="36" t="s">
        <v>123</v>
      </c>
      <c r="AD518" s="36" t="s">
        <v>286</v>
      </c>
      <c r="AE518" s="36" t="s">
        <v>287</v>
      </c>
      <c r="AF518" s="36" t="s">
        <v>288</v>
      </c>
      <c r="AG518" s="36" t="s">
        <v>289</v>
      </c>
      <c r="AK518" s="1" t="s">
        <v>291</v>
      </c>
      <c r="AO518" s="55" t="s">
        <v>292</v>
      </c>
      <c r="AP518" s="56" t="n">
        <v>2</v>
      </c>
      <c r="AQ518" s="57" t="n">
        <f aca="false">AP518*8/$AM$515</f>
        <v>0.8</v>
      </c>
      <c r="AR518" s="28" t="n">
        <v>28.94</v>
      </c>
      <c r="AS518" s="28" t="n">
        <f aca="false">AQ518*AR518</f>
        <v>23.152</v>
      </c>
    </row>
    <row r="519" customFormat="false" ht="15" hidden="false" customHeight="false" outlineLevel="0" collapsed="false">
      <c r="Y519" s="54" t="s">
        <v>737</v>
      </c>
      <c r="AK519" s="1" t="s">
        <v>293</v>
      </c>
      <c r="AO519" s="55" t="s">
        <v>292</v>
      </c>
      <c r="AP519" s="56" t="n">
        <v>1</v>
      </c>
      <c r="AQ519" s="57" t="n">
        <f aca="false">AP519*8/$AM$515</f>
        <v>0.4</v>
      </c>
      <c r="AR519" s="28" t="n">
        <v>23.6</v>
      </c>
      <c r="AS519" s="28" t="n">
        <f aca="false">AQ519*AR519</f>
        <v>9.44</v>
      </c>
    </row>
    <row r="520" customFormat="false" ht="15" hidden="false" customHeight="false" outlineLevel="0" collapsed="false">
      <c r="Y520" s="1" t="s">
        <v>1366</v>
      </c>
      <c r="AC520" s="55" t="s">
        <v>134</v>
      </c>
      <c r="AE520" s="1" t="n">
        <v>0.4</v>
      </c>
      <c r="AF520" s="28" t="n">
        <f aca="false">AS603</f>
        <v>79.0168444444444</v>
      </c>
      <c r="AG520" s="28" t="n">
        <f aca="false">AE520*AF520</f>
        <v>31.6067377777778</v>
      </c>
      <c r="AK520" s="1" t="s">
        <v>294</v>
      </c>
      <c r="AO520" s="55" t="s">
        <v>292</v>
      </c>
      <c r="AP520" s="56" t="n">
        <v>4</v>
      </c>
      <c r="AQ520" s="57" t="n">
        <f aca="false">AP520*8/$AM$515</f>
        <v>1.6</v>
      </c>
      <c r="AR520" s="28" t="n">
        <v>21.36</v>
      </c>
      <c r="AS520" s="28" t="n">
        <f aca="false">AQ520*AR520</f>
        <v>34.176</v>
      </c>
    </row>
    <row r="521" customFormat="false" ht="15" hidden="false" customHeight="false" outlineLevel="0" collapsed="false">
      <c r="Y521" s="1" t="s">
        <v>1367</v>
      </c>
      <c r="AC521" s="55" t="s">
        <v>204</v>
      </c>
      <c r="AE521" s="1" t="n">
        <v>0.05</v>
      </c>
      <c r="AF521" s="28" t="n">
        <f aca="false">AS619</f>
        <v>419.77836</v>
      </c>
      <c r="AG521" s="28" t="n">
        <f aca="false">AE521*AF521</f>
        <v>20.988918</v>
      </c>
      <c r="AO521" s="55"/>
      <c r="AP521" s="56"/>
      <c r="AQ521" s="57"/>
      <c r="AS521" s="86" t="n">
        <f aca="false">SUM(AS518:AS520)</f>
        <v>66.768</v>
      </c>
    </row>
    <row r="522" customFormat="false" ht="15" hidden="false" customHeight="false" outlineLevel="0" collapsed="false">
      <c r="Y522" s="1" t="s">
        <v>1368</v>
      </c>
      <c r="AC522" s="55" t="s">
        <v>297</v>
      </c>
      <c r="AD522" s="56"/>
      <c r="AE522" s="57" t="n">
        <v>8.5</v>
      </c>
      <c r="AF522" s="28" t="n">
        <v>6.5</v>
      </c>
      <c r="AG522" s="28" t="n">
        <f aca="false">AE522*AF522</f>
        <v>55.25</v>
      </c>
      <c r="AK522" s="87" t="s">
        <v>654</v>
      </c>
      <c r="AO522" s="55"/>
      <c r="AP522" s="56"/>
      <c r="AQ522" s="57"/>
      <c r="AS522" s="28"/>
    </row>
    <row r="523" customFormat="false" ht="15" hidden="false" customHeight="false" outlineLevel="0" collapsed="false">
      <c r="X523" s="60"/>
      <c r="Y523" s="60"/>
      <c r="Z523" s="60"/>
      <c r="AA523" s="60"/>
      <c r="AB523" s="60"/>
      <c r="AC523" s="60"/>
      <c r="AD523" s="60"/>
      <c r="AE523" s="60"/>
      <c r="AF523" s="80"/>
      <c r="AG523" s="61" t="n">
        <f aca="false">SUM(AG520:AG522)</f>
        <v>107.845655777778</v>
      </c>
      <c r="AK523" s="102" t="s">
        <v>722</v>
      </c>
      <c r="AO523" s="55" t="s">
        <v>204</v>
      </c>
      <c r="AQ523" s="57" t="n">
        <v>0.1</v>
      </c>
      <c r="AR523" s="28" t="n">
        <v>24.52</v>
      </c>
      <c r="AS523" s="28" t="n">
        <f aca="false">AQ523*AR523</f>
        <v>2.452</v>
      </c>
    </row>
    <row r="524" customFormat="false" ht="15" hidden="false" customHeight="false" outlineLevel="0" collapsed="false">
      <c r="AK524" s="102" t="s">
        <v>723</v>
      </c>
      <c r="AO524" s="55" t="s">
        <v>204</v>
      </c>
      <c r="AQ524" s="57" t="n">
        <v>1.02</v>
      </c>
      <c r="AR524" s="28" t="n">
        <v>358</v>
      </c>
      <c r="AS524" s="28" t="n">
        <f aca="false">AQ524*AR524</f>
        <v>365.16</v>
      </c>
    </row>
    <row r="525" customFormat="false" ht="15" hidden="false" customHeight="false" outlineLevel="0" collapsed="false">
      <c r="AK525" s="102" t="s">
        <v>724</v>
      </c>
      <c r="AO525" s="55" t="s">
        <v>308</v>
      </c>
      <c r="AQ525" s="57" t="n">
        <v>1.02</v>
      </c>
      <c r="AR525" s="28" t="n">
        <v>30</v>
      </c>
      <c r="AS525" s="28" t="n">
        <f aca="false">AQ525*AR525</f>
        <v>30.6</v>
      </c>
    </row>
    <row r="526" customFormat="false" ht="15" hidden="false" customHeight="false" outlineLevel="0" collapsed="false">
      <c r="AC526" s="55"/>
      <c r="AO526" s="55"/>
      <c r="AQ526" s="57"/>
      <c r="AR526" s="28"/>
      <c r="AS526" s="86" t="n">
        <f aca="false">SUM(AS523:AS525)</f>
        <v>398.212</v>
      </c>
    </row>
    <row r="527" customFormat="false" ht="15" hidden="false" customHeight="false" outlineLevel="0" collapsed="false">
      <c r="AC527" s="55"/>
      <c r="AK527" s="87" t="s">
        <v>310</v>
      </c>
    </row>
    <row r="528" customFormat="false" ht="15" hidden="false" customHeight="false" outlineLevel="0" collapsed="false">
      <c r="AC528" s="55"/>
      <c r="AD528" s="56"/>
      <c r="AE528" s="57"/>
      <c r="AF528" s="28"/>
      <c r="AG528" s="28"/>
      <c r="AK528" s="1" t="s">
        <v>311</v>
      </c>
      <c r="AO528" s="55" t="s">
        <v>312</v>
      </c>
      <c r="AQ528" s="57" t="n">
        <v>3</v>
      </c>
      <c r="AR528" s="28" t="n">
        <f aca="false">AS521</f>
        <v>66.768</v>
      </c>
      <c r="AS528" s="28" t="n">
        <f aca="false">AQ528%*AR528</f>
        <v>2.00304</v>
      </c>
    </row>
    <row r="529" customFormat="false" ht="15" hidden="false" customHeight="false" outlineLevel="0" collapsed="false">
      <c r="AK529" s="102" t="s">
        <v>725</v>
      </c>
      <c r="AO529" s="55" t="s">
        <v>338</v>
      </c>
      <c r="AP529" s="56" t="n">
        <v>1</v>
      </c>
      <c r="AQ529" s="57" t="n">
        <f aca="false">AP529*8/$AM$515</f>
        <v>0.4</v>
      </c>
      <c r="AR529" s="28" t="n">
        <v>6.93</v>
      </c>
      <c r="AS529" s="28" t="n">
        <f aca="false">AQ529*AR529</f>
        <v>2.772</v>
      </c>
    </row>
    <row r="530" customFormat="false" ht="15" hidden="false" customHeight="false" outlineLevel="0" collapsed="false">
      <c r="AJ530" s="60"/>
      <c r="AK530" s="60"/>
      <c r="AL530" s="60"/>
      <c r="AM530" s="60"/>
      <c r="AN530" s="60"/>
      <c r="AO530" s="60"/>
      <c r="AP530" s="60"/>
      <c r="AQ530" s="60"/>
      <c r="AR530" s="60"/>
      <c r="AS530" s="89" t="n">
        <f aca="false">SUM(AS528:AS529)</f>
        <v>4.77504</v>
      </c>
    </row>
    <row r="532" customFormat="false" ht="15" hidden="false" customHeight="false" outlineLevel="0" collapsed="false">
      <c r="AJ532" s="82" t="s">
        <v>278</v>
      </c>
      <c r="AK532" s="82"/>
      <c r="AL532" s="82" t="s">
        <v>739</v>
      </c>
      <c r="AM532" s="82"/>
    </row>
    <row r="533" customFormat="false" ht="15" hidden="false" customHeight="false" outlineLevel="0" collapsed="false">
      <c r="AJ533" s="82" t="s">
        <v>279</v>
      </c>
      <c r="AK533" s="82" t="s">
        <v>280</v>
      </c>
      <c r="AL533" s="84" t="s">
        <v>281</v>
      </c>
      <c r="AM533" s="85" t="n">
        <v>250</v>
      </c>
      <c r="AN533" s="84" t="s">
        <v>282</v>
      </c>
      <c r="AO533" s="85" t="n">
        <f aca="false">AM533</f>
        <v>250</v>
      </c>
      <c r="AP533" s="82" t="s">
        <v>283</v>
      </c>
      <c r="AR533" s="84" t="s">
        <v>134</v>
      </c>
      <c r="AS533" s="86" t="n">
        <f aca="false">AS538+AS542+AS546</f>
        <v>8.7959184</v>
      </c>
    </row>
    <row r="534" customFormat="false" ht="15" hidden="false" customHeight="false" outlineLevel="0" collapsed="false">
      <c r="AJ534" s="82" t="s">
        <v>284</v>
      </c>
      <c r="AK534" s="82" t="s">
        <v>285</v>
      </c>
      <c r="AO534" s="84" t="s">
        <v>123</v>
      </c>
      <c r="AP534" s="84" t="s">
        <v>286</v>
      </c>
      <c r="AQ534" s="84" t="s">
        <v>287</v>
      </c>
      <c r="AR534" s="84" t="s">
        <v>288</v>
      </c>
      <c r="AS534" s="84" t="s">
        <v>289</v>
      </c>
    </row>
    <row r="535" customFormat="false" ht="15" hidden="false" customHeight="false" outlineLevel="0" collapsed="false">
      <c r="AK535" s="87" t="s">
        <v>290</v>
      </c>
    </row>
    <row r="536" customFormat="false" ht="15" hidden="false" customHeight="false" outlineLevel="0" collapsed="false">
      <c r="AK536" s="1" t="s">
        <v>291</v>
      </c>
      <c r="AO536" s="55" t="s">
        <v>292</v>
      </c>
      <c r="AP536" s="56" t="n">
        <v>1</v>
      </c>
      <c r="AQ536" s="57" t="n">
        <f aca="false">AP536*8/$AM$533</f>
        <v>0.032</v>
      </c>
      <c r="AR536" s="28" t="n">
        <v>28.94</v>
      </c>
      <c r="AS536" s="28" t="n">
        <f aca="false">AQ536*AR536</f>
        <v>0.92608</v>
      </c>
    </row>
    <row r="537" customFormat="false" ht="15" hidden="false" customHeight="false" outlineLevel="0" collapsed="false">
      <c r="AK537" s="1" t="s">
        <v>680</v>
      </c>
      <c r="AO537" s="55" t="s">
        <v>292</v>
      </c>
      <c r="AP537" s="56" t="n">
        <v>1</v>
      </c>
      <c r="AQ537" s="57" t="n">
        <f aca="false">AP537*8/$AM$533</f>
        <v>0.032</v>
      </c>
      <c r="AR537" s="28" t="n">
        <v>23.6</v>
      </c>
      <c r="AS537" s="28" t="n">
        <f aca="false">AQ537*AR537</f>
        <v>0.7552</v>
      </c>
    </row>
    <row r="538" customFormat="false" ht="15" hidden="false" customHeight="false" outlineLevel="0" collapsed="false">
      <c r="AO538" s="55"/>
      <c r="AP538" s="56"/>
      <c r="AS538" s="86" t="n">
        <f aca="false">SUM(AS536:AS537)</f>
        <v>1.68128</v>
      </c>
    </row>
    <row r="539" customFormat="false" ht="15" hidden="false" customHeight="false" outlineLevel="0" collapsed="false">
      <c r="AK539" s="87" t="s">
        <v>295</v>
      </c>
      <c r="AO539" s="55"/>
      <c r="AP539" s="56"/>
      <c r="AQ539" s="99"/>
    </row>
    <row r="540" customFormat="false" ht="15" hidden="false" customHeight="false" outlineLevel="0" collapsed="false">
      <c r="AK540" s="1" t="s">
        <v>296</v>
      </c>
      <c r="AO540" s="55" t="s">
        <v>297</v>
      </c>
      <c r="AP540" s="56"/>
      <c r="AQ540" s="99" t="n">
        <v>0.03</v>
      </c>
      <c r="AR540" s="28" t="n">
        <v>2.64</v>
      </c>
      <c r="AS540" s="28" t="n">
        <f aca="false">AQ540*AR540</f>
        <v>0.0792</v>
      </c>
    </row>
    <row r="541" customFormat="false" ht="15" hidden="false" customHeight="false" outlineLevel="0" collapsed="false">
      <c r="AK541" s="1" t="s">
        <v>681</v>
      </c>
      <c r="AO541" s="55" t="s">
        <v>297</v>
      </c>
      <c r="AP541" s="56"/>
      <c r="AQ541" s="99" t="n">
        <v>1.05</v>
      </c>
      <c r="AR541" s="28" t="n">
        <v>6.5</v>
      </c>
      <c r="AS541" s="28" t="n">
        <f aca="false">AQ541*AR541</f>
        <v>6.825</v>
      </c>
    </row>
    <row r="542" customFormat="false" ht="15" hidden="false" customHeight="false" outlineLevel="0" collapsed="false">
      <c r="AO542" s="55"/>
      <c r="AP542" s="56"/>
      <c r="AS542" s="86" t="n">
        <f aca="false">SUM(AS540:AS541)</f>
        <v>6.9042</v>
      </c>
    </row>
    <row r="543" customFormat="false" ht="15" hidden="false" customHeight="false" outlineLevel="0" collapsed="false">
      <c r="AK543" s="87" t="s">
        <v>318</v>
      </c>
      <c r="AO543" s="55"/>
      <c r="AP543" s="56"/>
    </row>
    <row r="544" customFormat="false" ht="15" hidden="false" customHeight="false" outlineLevel="0" collapsed="false">
      <c r="AK544" s="1" t="s">
        <v>311</v>
      </c>
      <c r="AO544" s="55" t="s">
        <v>312</v>
      </c>
      <c r="AQ544" s="57" t="n">
        <v>3</v>
      </c>
      <c r="AR544" s="28" t="n">
        <f aca="false">AS538</f>
        <v>1.68128</v>
      </c>
      <c r="AS544" s="28" t="n">
        <f aca="false">AQ544%*AR544</f>
        <v>0.0504384</v>
      </c>
    </row>
    <row r="545" customFormat="false" ht="15" hidden="false" customHeight="false" outlineLevel="0" collapsed="false">
      <c r="AK545" s="1" t="s">
        <v>682</v>
      </c>
      <c r="AO545" s="55" t="s">
        <v>292</v>
      </c>
      <c r="AP545" s="56" t="n">
        <v>1</v>
      </c>
      <c r="AQ545" s="57" t="n">
        <f aca="false">AP545*8/$AM$533</f>
        <v>0.032</v>
      </c>
      <c r="AR545" s="28" t="n">
        <v>5</v>
      </c>
      <c r="AS545" s="28" t="n">
        <f aca="false">AQ545*AR545</f>
        <v>0.16</v>
      </c>
    </row>
    <row r="546" customFormat="false" ht="15" hidden="false" customHeight="false" outlineLevel="0" collapsed="false">
      <c r="AJ546" s="60"/>
      <c r="AK546" s="60"/>
      <c r="AL546" s="60"/>
      <c r="AM546" s="60"/>
      <c r="AN546" s="60"/>
      <c r="AO546" s="60"/>
      <c r="AP546" s="60"/>
      <c r="AQ546" s="60"/>
      <c r="AR546" s="60"/>
      <c r="AS546" s="89" t="n">
        <f aca="false">SUM(AS544:AS545)</f>
        <v>0.2104384</v>
      </c>
    </row>
    <row r="547" customFormat="false" ht="15" hidden="false" customHeight="false" outlineLevel="0" collapsed="false">
      <c r="AO547" s="55"/>
      <c r="AQ547" s="57"/>
      <c r="AS547" s="28"/>
    </row>
    <row r="548" customFormat="false" ht="15" hidden="false" customHeight="false" outlineLevel="0" collapsed="false">
      <c r="AJ548" s="82" t="s">
        <v>278</v>
      </c>
      <c r="AK548" s="82"/>
      <c r="AL548" s="82" t="s">
        <v>529</v>
      </c>
      <c r="AM548" s="82"/>
    </row>
    <row r="549" customFormat="false" ht="15" hidden="false" customHeight="false" outlineLevel="0" collapsed="false">
      <c r="AJ549" s="82" t="s">
        <v>279</v>
      </c>
      <c r="AK549" s="82" t="s">
        <v>280</v>
      </c>
      <c r="AL549" s="84" t="s">
        <v>281</v>
      </c>
      <c r="AM549" s="85" t="n">
        <v>20</v>
      </c>
      <c r="AN549" s="84" t="s">
        <v>282</v>
      </c>
      <c r="AO549" s="85" t="n">
        <f aca="false">AM549</f>
        <v>20</v>
      </c>
      <c r="AP549" s="82" t="s">
        <v>283</v>
      </c>
      <c r="AR549" s="84" t="s">
        <v>134</v>
      </c>
      <c r="AS549" s="86" t="n">
        <f aca="false">AS555+AS560+AS563</f>
        <v>79.24338</v>
      </c>
    </row>
    <row r="550" customFormat="false" ht="15" hidden="false" customHeight="false" outlineLevel="0" collapsed="false">
      <c r="AJ550" s="82" t="s">
        <v>284</v>
      </c>
      <c r="AK550" s="82" t="s">
        <v>285</v>
      </c>
      <c r="AO550" s="84" t="s">
        <v>123</v>
      </c>
      <c r="AP550" s="84" t="s">
        <v>286</v>
      </c>
      <c r="AQ550" s="84" t="s">
        <v>287</v>
      </c>
      <c r="AR550" s="84" t="s">
        <v>288</v>
      </c>
      <c r="AS550" s="84" t="s">
        <v>289</v>
      </c>
    </row>
    <row r="551" customFormat="false" ht="15" hidden="false" customHeight="false" outlineLevel="0" collapsed="false">
      <c r="AK551" s="87" t="s">
        <v>290</v>
      </c>
    </row>
    <row r="552" customFormat="false" ht="15" hidden="false" customHeight="false" outlineLevel="0" collapsed="false">
      <c r="AK552" s="1" t="s">
        <v>291</v>
      </c>
      <c r="AO552" s="55" t="s">
        <v>292</v>
      </c>
      <c r="AP552" s="56" t="n">
        <v>2</v>
      </c>
      <c r="AQ552" s="57" t="n">
        <f aca="false">AP552*8/$AM$549</f>
        <v>0.8</v>
      </c>
      <c r="AR552" s="28" t="n">
        <v>28.94</v>
      </c>
      <c r="AS552" s="28" t="n">
        <f aca="false">AQ552*AR552</f>
        <v>23.152</v>
      </c>
    </row>
    <row r="553" customFormat="false" ht="15" hidden="false" customHeight="false" outlineLevel="0" collapsed="false">
      <c r="AK553" s="1" t="s">
        <v>293</v>
      </c>
      <c r="AO553" s="55" t="s">
        <v>292</v>
      </c>
      <c r="AP553" s="56" t="n">
        <v>2</v>
      </c>
      <c r="AQ553" s="57" t="n">
        <f aca="false">AP553*8/$AM$549</f>
        <v>0.8</v>
      </c>
      <c r="AR553" s="28" t="n">
        <v>23.6</v>
      </c>
      <c r="AS553" s="28" t="n">
        <f aca="false">AQ553*AR553</f>
        <v>18.88</v>
      </c>
    </row>
    <row r="554" customFormat="false" ht="15" hidden="false" customHeight="false" outlineLevel="0" collapsed="false">
      <c r="AK554" s="1" t="s">
        <v>294</v>
      </c>
      <c r="AO554" s="55" t="s">
        <v>292</v>
      </c>
      <c r="AP554" s="56" t="n">
        <v>1</v>
      </c>
      <c r="AQ554" s="57" t="n">
        <f aca="false">AP554*8/$AM$549</f>
        <v>0.4</v>
      </c>
      <c r="AR554" s="28" t="n">
        <v>21.36</v>
      </c>
      <c r="AS554" s="28" t="n">
        <f aca="false">AQ554*AR554</f>
        <v>8.544</v>
      </c>
    </row>
    <row r="555" customFormat="false" ht="15" hidden="false" customHeight="false" outlineLevel="0" collapsed="false">
      <c r="AO555" s="55"/>
      <c r="AP555" s="56"/>
      <c r="AQ555" s="57"/>
      <c r="AS555" s="86" t="n">
        <f aca="false">SUM(AS552:AS554)</f>
        <v>50.576</v>
      </c>
    </row>
    <row r="556" customFormat="false" ht="15" hidden="false" customHeight="false" outlineLevel="0" collapsed="false">
      <c r="AK556" s="87" t="s">
        <v>654</v>
      </c>
      <c r="AO556" s="55"/>
      <c r="AP556" s="56"/>
      <c r="AQ556" s="57"/>
      <c r="AS556" s="28"/>
    </row>
    <row r="557" customFormat="false" ht="15" hidden="false" customHeight="false" outlineLevel="0" collapsed="false">
      <c r="AK557" s="1" t="s">
        <v>689</v>
      </c>
      <c r="AO557" s="55" t="s">
        <v>297</v>
      </c>
      <c r="AQ557" s="57" t="n">
        <v>0.3</v>
      </c>
      <c r="AR557" s="28" t="n">
        <v>2.64</v>
      </c>
      <c r="AS557" s="28" t="n">
        <f aca="false">AQ557*AR557</f>
        <v>0.792</v>
      </c>
    </row>
    <row r="558" customFormat="false" ht="15" hidden="false" customHeight="false" outlineLevel="0" collapsed="false">
      <c r="AK558" s="1" t="s">
        <v>302</v>
      </c>
      <c r="AO558" s="55" t="s">
        <v>297</v>
      </c>
      <c r="AQ558" s="57" t="n">
        <v>0.31</v>
      </c>
      <c r="AR558" s="28" t="n">
        <v>5.51</v>
      </c>
      <c r="AS558" s="28" t="n">
        <f aca="false">AQ558*AR558</f>
        <v>1.7081</v>
      </c>
    </row>
    <row r="559" customFormat="false" ht="15" hidden="false" customHeight="false" outlineLevel="0" collapsed="false">
      <c r="AK559" s="1" t="s">
        <v>670</v>
      </c>
      <c r="AO559" s="55" t="s">
        <v>306</v>
      </c>
      <c r="AQ559" s="57" t="n">
        <v>4.25</v>
      </c>
      <c r="AR559" s="28" t="n">
        <v>5.8</v>
      </c>
      <c r="AS559" s="28" t="n">
        <f aca="false">AQ559*AR559</f>
        <v>24.65</v>
      </c>
    </row>
    <row r="560" customFormat="false" ht="15" hidden="false" customHeight="false" outlineLevel="0" collapsed="false">
      <c r="AO560" s="55"/>
      <c r="AQ560" s="57"/>
      <c r="AR560" s="28"/>
      <c r="AS560" s="86" t="n">
        <f aca="false">SUM(AS557:AS559)</f>
        <v>27.1501</v>
      </c>
    </row>
    <row r="561" customFormat="false" ht="15" hidden="false" customHeight="false" outlineLevel="0" collapsed="false">
      <c r="AK561" s="87" t="s">
        <v>310</v>
      </c>
    </row>
    <row r="562" customFormat="false" ht="15" hidden="false" customHeight="false" outlineLevel="0" collapsed="false">
      <c r="AK562" s="1" t="s">
        <v>311</v>
      </c>
      <c r="AO562" s="55" t="s">
        <v>312</v>
      </c>
      <c r="AQ562" s="57" t="n">
        <v>3</v>
      </c>
      <c r="AR562" s="28" t="n">
        <f aca="false">AS555</f>
        <v>50.576</v>
      </c>
      <c r="AS562" s="28" t="n">
        <f aca="false">AQ562%*AR562</f>
        <v>1.51728</v>
      </c>
    </row>
    <row r="563" customFormat="false" ht="15" hidden="false" customHeight="false" outlineLevel="0" collapsed="false">
      <c r="AJ563" s="60"/>
      <c r="AK563" s="60"/>
      <c r="AL563" s="60"/>
      <c r="AM563" s="60"/>
      <c r="AN563" s="60"/>
      <c r="AO563" s="60"/>
      <c r="AP563" s="60"/>
      <c r="AQ563" s="60"/>
      <c r="AR563" s="60"/>
      <c r="AS563" s="89" t="n">
        <f aca="false">SUM(AS562)</f>
        <v>1.51728</v>
      </c>
    </row>
    <row r="564" customFormat="false" ht="15" hidden="false" customHeight="false" outlineLevel="0" collapsed="false">
      <c r="AO564" s="55"/>
      <c r="AQ564" s="57"/>
      <c r="AS564" s="28"/>
    </row>
    <row r="565" customFormat="false" ht="15" hidden="false" customHeight="false" outlineLevel="0" collapsed="false">
      <c r="AJ565" s="82" t="s">
        <v>278</v>
      </c>
      <c r="AK565" s="82"/>
      <c r="AL565" s="82" t="s">
        <v>527</v>
      </c>
      <c r="AM565" s="82"/>
    </row>
    <row r="566" customFormat="false" ht="15" hidden="false" customHeight="false" outlineLevel="0" collapsed="false">
      <c r="AJ566" s="82" t="s">
        <v>279</v>
      </c>
      <c r="AK566" s="82" t="s">
        <v>417</v>
      </c>
      <c r="AL566" s="84" t="s">
        <v>281</v>
      </c>
      <c r="AM566" s="85" t="n">
        <v>10</v>
      </c>
      <c r="AN566" s="84" t="s">
        <v>282</v>
      </c>
      <c r="AO566" s="85" t="n">
        <f aca="false">AM566</f>
        <v>10</v>
      </c>
      <c r="AP566" s="82" t="s">
        <v>283</v>
      </c>
      <c r="AR566" s="84" t="s">
        <v>204</v>
      </c>
      <c r="AS566" s="86" t="n">
        <f aca="false">AS572+AS579+AS584</f>
        <v>549.09188</v>
      </c>
    </row>
    <row r="567" customFormat="false" ht="15" hidden="false" customHeight="false" outlineLevel="0" collapsed="false">
      <c r="AJ567" s="82" t="s">
        <v>284</v>
      </c>
      <c r="AK567" s="82" t="s">
        <v>285</v>
      </c>
      <c r="AO567" s="84" t="s">
        <v>123</v>
      </c>
      <c r="AP567" s="84" t="s">
        <v>286</v>
      </c>
      <c r="AQ567" s="84" t="s">
        <v>287</v>
      </c>
      <c r="AR567" s="84" t="s">
        <v>288</v>
      </c>
      <c r="AS567" s="84" t="s">
        <v>289</v>
      </c>
    </row>
    <row r="568" customFormat="false" ht="15" hidden="false" customHeight="false" outlineLevel="0" collapsed="false">
      <c r="AK568" s="87" t="s">
        <v>290</v>
      </c>
    </row>
    <row r="569" customFormat="false" ht="15" hidden="false" customHeight="false" outlineLevel="0" collapsed="false">
      <c r="AK569" s="1" t="s">
        <v>291</v>
      </c>
      <c r="AO569" s="55" t="s">
        <v>292</v>
      </c>
      <c r="AP569" s="56" t="n">
        <v>2</v>
      </c>
      <c r="AQ569" s="57" t="n">
        <f aca="false">AP569*8/$AM$566</f>
        <v>1.6</v>
      </c>
      <c r="AR569" s="28" t="n">
        <v>28.94</v>
      </c>
      <c r="AS569" s="28" t="n">
        <f aca="false">AQ569*AR569</f>
        <v>46.304</v>
      </c>
    </row>
    <row r="570" customFormat="false" ht="15" hidden="false" customHeight="false" outlineLevel="0" collapsed="false">
      <c r="AK570" s="1" t="s">
        <v>293</v>
      </c>
      <c r="AO570" s="55" t="s">
        <v>292</v>
      </c>
      <c r="AP570" s="56" t="n">
        <v>2</v>
      </c>
      <c r="AQ570" s="57" t="n">
        <f aca="false">AP570*8/$AM$566</f>
        <v>1.6</v>
      </c>
      <c r="AR570" s="28" t="n">
        <v>23.6</v>
      </c>
      <c r="AS570" s="28" t="n">
        <f aca="false">AQ570*AR570</f>
        <v>37.76</v>
      </c>
    </row>
    <row r="571" customFormat="false" ht="15" hidden="false" customHeight="false" outlineLevel="0" collapsed="false">
      <c r="AK571" s="1" t="s">
        <v>294</v>
      </c>
      <c r="AO571" s="55" t="s">
        <v>292</v>
      </c>
      <c r="AP571" s="56" t="n">
        <v>8</v>
      </c>
      <c r="AQ571" s="57" t="n">
        <f aca="false">AP571*8/$AM$566</f>
        <v>6.4</v>
      </c>
      <c r="AR571" s="28" t="n">
        <v>21.36</v>
      </c>
      <c r="AS571" s="28" t="n">
        <f aca="false">AQ571*AR571</f>
        <v>136.704</v>
      </c>
    </row>
    <row r="572" customFormat="false" ht="15" hidden="false" customHeight="false" outlineLevel="0" collapsed="false">
      <c r="AO572" s="55"/>
      <c r="AP572" s="56"/>
      <c r="AQ572" s="57"/>
      <c r="AS572" s="86" t="n">
        <f aca="false">SUM(AS569:AS571)</f>
        <v>220.768</v>
      </c>
    </row>
    <row r="573" customFormat="false" ht="15" hidden="false" customHeight="false" outlineLevel="0" collapsed="false">
      <c r="AK573" s="87" t="s">
        <v>654</v>
      </c>
      <c r="AO573" s="55"/>
      <c r="AP573" s="56"/>
      <c r="AQ573" s="57"/>
      <c r="AS573" s="28"/>
    </row>
    <row r="574" customFormat="false" ht="15" hidden="false" customHeight="false" outlineLevel="0" collapsed="false">
      <c r="AK574" s="1" t="s">
        <v>673</v>
      </c>
      <c r="AO574" s="55" t="s">
        <v>204</v>
      </c>
      <c r="AQ574" s="57" t="n">
        <v>0.53</v>
      </c>
      <c r="AR574" s="28" t="n">
        <v>55.08</v>
      </c>
      <c r="AS574" s="28" t="n">
        <f aca="false">AQ574*AR574</f>
        <v>29.1924</v>
      </c>
    </row>
    <row r="575" customFormat="false" ht="15" hidden="false" customHeight="false" outlineLevel="0" collapsed="false">
      <c r="AK575" s="1" t="s">
        <v>674</v>
      </c>
      <c r="AO575" s="55" t="s">
        <v>204</v>
      </c>
      <c r="AQ575" s="57" t="n">
        <v>0.52</v>
      </c>
      <c r="AR575" s="28" t="n">
        <v>47</v>
      </c>
      <c r="AS575" s="28" t="n">
        <f aca="false">AQ575*AR575</f>
        <v>24.44</v>
      </c>
    </row>
    <row r="576" customFormat="false" ht="15" hidden="false" customHeight="false" outlineLevel="0" collapsed="false">
      <c r="AK576" s="1" t="s">
        <v>307</v>
      </c>
      <c r="AO576" s="55" t="s">
        <v>308</v>
      </c>
      <c r="AQ576" s="57" t="n">
        <v>9.73</v>
      </c>
      <c r="AR576" s="28" t="n">
        <v>24.52</v>
      </c>
      <c r="AS576" s="28" t="n">
        <f aca="false">AQ576*AR576</f>
        <v>238.5796</v>
      </c>
    </row>
    <row r="577" customFormat="false" ht="15" hidden="false" customHeight="false" outlineLevel="0" collapsed="false">
      <c r="AK577" s="1" t="s">
        <v>656</v>
      </c>
      <c r="AO577" s="55" t="s">
        <v>204</v>
      </c>
      <c r="AQ577" s="57" t="n">
        <v>0.186</v>
      </c>
      <c r="AR577" s="1" t="n">
        <v>6.14</v>
      </c>
      <c r="AS577" s="28" t="n">
        <f aca="false">AQ577*AR577</f>
        <v>1.14204</v>
      </c>
    </row>
    <row r="578" customFormat="false" ht="15" hidden="false" customHeight="false" outlineLevel="0" collapsed="false">
      <c r="AK578" s="1" t="s">
        <v>666</v>
      </c>
      <c r="AO578" s="55" t="s">
        <v>440</v>
      </c>
      <c r="AQ578" s="57" t="n">
        <v>0.36</v>
      </c>
      <c r="AR578" s="1" t="n">
        <v>13.93</v>
      </c>
      <c r="AS578" s="28" t="n">
        <f aca="false">AQ578*AR578</f>
        <v>5.0148</v>
      </c>
    </row>
    <row r="579" customFormat="false" ht="15" hidden="false" customHeight="false" outlineLevel="0" collapsed="false">
      <c r="AO579" s="55"/>
      <c r="AQ579" s="57"/>
      <c r="AR579" s="28"/>
      <c r="AS579" s="86" t="n">
        <f aca="false">SUM(AS574:AS578)</f>
        <v>298.36884</v>
      </c>
    </row>
    <row r="580" customFormat="false" ht="15" hidden="false" customHeight="false" outlineLevel="0" collapsed="false">
      <c r="AK580" s="87" t="s">
        <v>310</v>
      </c>
    </row>
    <row r="581" customFormat="false" ht="15" hidden="false" customHeight="false" outlineLevel="0" collapsed="false">
      <c r="AK581" s="1" t="s">
        <v>311</v>
      </c>
      <c r="AO581" s="55" t="s">
        <v>312</v>
      </c>
      <c r="AQ581" s="57" t="n">
        <v>3</v>
      </c>
      <c r="AR581" s="28" t="n">
        <f aca="false">AS572</f>
        <v>220.768</v>
      </c>
      <c r="AS581" s="28" t="n">
        <f aca="false">AQ581%*AR581</f>
        <v>6.62304</v>
      </c>
    </row>
    <row r="582" customFormat="false" ht="15" hidden="false" customHeight="false" outlineLevel="0" collapsed="false">
      <c r="AK582" s="1" t="s">
        <v>668</v>
      </c>
      <c r="AO582" s="55" t="s">
        <v>338</v>
      </c>
      <c r="AP582" s="56" t="n">
        <v>1</v>
      </c>
      <c r="AQ582" s="57" t="n">
        <f aca="false">AP582*8/$AM$566</f>
        <v>0.8</v>
      </c>
      <c r="AR582" s="28" t="n">
        <v>25.63</v>
      </c>
      <c r="AS582" s="28" t="n">
        <f aca="false">AQ582*AR582</f>
        <v>20.504</v>
      </c>
    </row>
    <row r="583" customFormat="false" ht="15" hidden="false" customHeight="false" outlineLevel="0" collapsed="false">
      <c r="AK583" s="1" t="s">
        <v>676</v>
      </c>
      <c r="AO583" s="55" t="s">
        <v>338</v>
      </c>
      <c r="AP583" s="56" t="n">
        <v>0.5</v>
      </c>
      <c r="AQ583" s="57" t="n">
        <f aca="false">AP583*8/$AM$566</f>
        <v>0.4</v>
      </c>
      <c r="AR583" s="28" t="n">
        <v>7.07</v>
      </c>
      <c r="AS583" s="28" t="n">
        <f aca="false">AQ583*AR583</f>
        <v>2.828</v>
      </c>
    </row>
    <row r="584" customFormat="false" ht="15" hidden="false" customHeight="false" outlineLevel="0" collapsed="false">
      <c r="AJ584" s="60"/>
      <c r="AK584" s="60"/>
      <c r="AL584" s="60"/>
      <c r="AM584" s="60"/>
      <c r="AN584" s="60"/>
      <c r="AO584" s="60"/>
      <c r="AP584" s="60"/>
      <c r="AQ584" s="60"/>
      <c r="AR584" s="60"/>
      <c r="AS584" s="89" t="n">
        <f aca="false">SUM(AS581:AS583)</f>
        <v>29.95504</v>
      </c>
    </row>
    <row r="585" customFormat="false" ht="15" hidden="false" customHeight="false" outlineLevel="0" collapsed="false">
      <c r="AO585" s="55"/>
      <c r="AQ585" s="57"/>
      <c r="AS585" s="28"/>
    </row>
    <row r="586" customFormat="false" ht="15" hidden="false" customHeight="false" outlineLevel="0" collapsed="false">
      <c r="AJ586" s="82" t="s">
        <v>278</v>
      </c>
      <c r="AK586" s="82"/>
      <c r="AL586" s="82" t="s">
        <v>531</v>
      </c>
      <c r="AM586" s="82"/>
    </row>
    <row r="587" customFormat="false" ht="15" hidden="false" customHeight="false" outlineLevel="0" collapsed="false">
      <c r="AJ587" s="82" t="s">
        <v>279</v>
      </c>
      <c r="AK587" s="82" t="s">
        <v>280</v>
      </c>
      <c r="AL587" s="84" t="s">
        <v>281</v>
      </c>
      <c r="AM587" s="85" t="n">
        <v>250</v>
      </c>
      <c r="AN587" s="84" t="s">
        <v>282</v>
      </c>
      <c r="AO587" s="85" t="n">
        <f aca="false">AM587</f>
        <v>250</v>
      </c>
      <c r="AP587" s="82" t="s">
        <v>283</v>
      </c>
      <c r="AR587" s="84" t="s">
        <v>134</v>
      </c>
      <c r="AS587" s="86" t="n">
        <f aca="false">AS592+AS596+AS600</f>
        <v>8.7959184</v>
      </c>
    </row>
    <row r="588" customFormat="false" ht="15" hidden="false" customHeight="false" outlineLevel="0" collapsed="false">
      <c r="AJ588" s="82" t="s">
        <v>284</v>
      </c>
      <c r="AK588" s="82" t="s">
        <v>285</v>
      </c>
      <c r="AO588" s="84" t="s">
        <v>123</v>
      </c>
      <c r="AP588" s="84" t="s">
        <v>286</v>
      </c>
      <c r="AQ588" s="84" t="s">
        <v>287</v>
      </c>
      <c r="AR588" s="84" t="s">
        <v>288</v>
      </c>
      <c r="AS588" s="84" t="s">
        <v>289</v>
      </c>
    </row>
    <row r="589" customFormat="false" ht="15" hidden="false" customHeight="false" outlineLevel="0" collapsed="false">
      <c r="AK589" s="87" t="s">
        <v>290</v>
      </c>
    </row>
    <row r="590" customFormat="false" ht="15" hidden="false" customHeight="false" outlineLevel="0" collapsed="false">
      <c r="AK590" s="1" t="s">
        <v>291</v>
      </c>
      <c r="AO590" s="55" t="s">
        <v>292</v>
      </c>
      <c r="AP590" s="56" t="n">
        <v>1</v>
      </c>
      <c r="AQ590" s="57" t="n">
        <f aca="false">AP590*8/$AM$587</f>
        <v>0.032</v>
      </c>
      <c r="AR590" s="28" t="n">
        <v>28.94</v>
      </c>
      <c r="AS590" s="28" t="n">
        <f aca="false">AQ590*AR590</f>
        <v>0.92608</v>
      </c>
    </row>
    <row r="591" customFormat="false" ht="15" hidden="false" customHeight="false" outlineLevel="0" collapsed="false">
      <c r="AK591" s="1" t="s">
        <v>680</v>
      </c>
      <c r="AO591" s="55" t="s">
        <v>292</v>
      </c>
      <c r="AP591" s="56" t="n">
        <v>1</v>
      </c>
      <c r="AQ591" s="57" t="n">
        <f aca="false">AP591*8/$AM$587</f>
        <v>0.032</v>
      </c>
      <c r="AR591" s="28" t="n">
        <v>23.6</v>
      </c>
      <c r="AS591" s="28" t="n">
        <f aca="false">AQ591*AR591</f>
        <v>0.7552</v>
      </c>
    </row>
    <row r="592" customFormat="false" ht="15" hidden="false" customHeight="false" outlineLevel="0" collapsed="false">
      <c r="AO592" s="55"/>
      <c r="AP592" s="56"/>
      <c r="AS592" s="86" t="n">
        <f aca="false">SUM(AS590:AS591)</f>
        <v>1.68128</v>
      </c>
    </row>
    <row r="593" customFormat="false" ht="15" hidden="false" customHeight="false" outlineLevel="0" collapsed="false">
      <c r="AK593" s="87" t="s">
        <v>295</v>
      </c>
      <c r="AO593" s="55"/>
      <c r="AP593" s="56"/>
      <c r="AQ593" s="99"/>
    </row>
    <row r="594" customFormat="false" ht="15" hidden="false" customHeight="false" outlineLevel="0" collapsed="false">
      <c r="AK594" s="1" t="s">
        <v>296</v>
      </c>
      <c r="AO594" s="55" t="s">
        <v>297</v>
      </c>
      <c r="AP594" s="56"/>
      <c r="AQ594" s="99" t="n">
        <v>0.03</v>
      </c>
      <c r="AR594" s="28" t="n">
        <v>2.64</v>
      </c>
      <c r="AS594" s="28" t="n">
        <f aca="false">AQ594*AR594</f>
        <v>0.0792</v>
      </c>
    </row>
    <row r="595" customFormat="false" ht="15" hidden="false" customHeight="false" outlineLevel="0" collapsed="false">
      <c r="AK595" s="1" t="s">
        <v>681</v>
      </c>
      <c r="AO595" s="55" t="s">
        <v>297</v>
      </c>
      <c r="AP595" s="56"/>
      <c r="AQ595" s="99" t="n">
        <v>1.05</v>
      </c>
      <c r="AR595" s="28" t="n">
        <v>6.5</v>
      </c>
      <c r="AS595" s="28" t="n">
        <f aca="false">AQ595*AR595</f>
        <v>6.825</v>
      </c>
    </row>
    <row r="596" customFormat="false" ht="15" hidden="false" customHeight="false" outlineLevel="0" collapsed="false">
      <c r="AO596" s="55"/>
      <c r="AP596" s="56"/>
      <c r="AS596" s="86" t="n">
        <f aca="false">SUM(AS594:AS595)</f>
        <v>6.9042</v>
      </c>
    </row>
    <row r="597" customFormat="false" ht="15" hidden="false" customHeight="false" outlineLevel="0" collapsed="false">
      <c r="AK597" s="87" t="s">
        <v>318</v>
      </c>
      <c r="AO597" s="55"/>
      <c r="AP597" s="56"/>
    </row>
    <row r="598" customFormat="false" ht="15" hidden="false" customHeight="false" outlineLevel="0" collapsed="false">
      <c r="AK598" s="1" t="s">
        <v>311</v>
      </c>
      <c r="AO598" s="55" t="s">
        <v>312</v>
      </c>
      <c r="AQ598" s="57" t="n">
        <v>3</v>
      </c>
      <c r="AR598" s="28" t="n">
        <f aca="false">AS592</f>
        <v>1.68128</v>
      </c>
      <c r="AS598" s="28" t="n">
        <f aca="false">AQ598%*AR598</f>
        <v>0.0504384</v>
      </c>
    </row>
    <row r="599" customFormat="false" ht="15" hidden="false" customHeight="false" outlineLevel="0" collapsed="false">
      <c r="AK599" s="1" t="s">
        <v>682</v>
      </c>
      <c r="AO599" s="55" t="s">
        <v>292</v>
      </c>
      <c r="AP599" s="56" t="n">
        <v>1</v>
      </c>
      <c r="AQ599" s="57" t="n">
        <f aca="false">AP599*8/$AM$587</f>
        <v>0.032</v>
      </c>
      <c r="AR599" s="28" t="n">
        <v>5</v>
      </c>
      <c r="AS599" s="28" t="n">
        <f aca="false">AQ599*AR599</f>
        <v>0.16</v>
      </c>
    </row>
    <row r="600" customFormat="false" ht="15" hidden="false" customHeight="false" outlineLevel="0" collapsed="false">
      <c r="AJ600" s="60"/>
      <c r="AK600" s="60"/>
      <c r="AL600" s="60"/>
      <c r="AM600" s="60"/>
      <c r="AN600" s="60"/>
      <c r="AO600" s="60"/>
      <c r="AP600" s="60"/>
      <c r="AQ600" s="60"/>
      <c r="AR600" s="60"/>
      <c r="AS600" s="89" t="n">
        <f aca="false">SUM(AS598:AS599)</f>
        <v>0.2104384</v>
      </c>
    </row>
    <row r="601" customFormat="false" ht="15" hidden="false" customHeight="false" outlineLevel="0" collapsed="false">
      <c r="AS601" s="86"/>
    </row>
    <row r="602" customFormat="false" ht="15" hidden="false" customHeight="false" outlineLevel="0" collapsed="false">
      <c r="AJ602" s="82" t="s">
        <v>278</v>
      </c>
      <c r="AK602" s="82"/>
      <c r="AL602" s="82" t="s">
        <v>545</v>
      </c>
      <c r="AM602" s="82"/>
    </row>
    <row r="603" customFormat="false" ht="15" hidden="false" customHeight="false" outlineLevel="0" collapsed="false">
      <c r="AJ603" s="82" t="s">
        <v>279</v>
      </c>
      <c r="AK603" s="82" t="s">
        <v>280</v>
      </c>
      <c r="AL603" s="84" t="s">
        <v>281</v>
      </c>
      <c r="AM603" s="85" t="n">
        <v>18</v>
      </c>
      <c r="AN603" s="84" t="s">
        <v>282</v>
      </c>
      <c r="AO603" s="85" t="n">
        <f aca="false">AM603</f>
        <v>18</v>
      </c>
      <c r="AP603" s="82" t="s">
        <v>283</v>
      </c>
      <c r="AR603" s="84" t="s">
        <v>134</v>
      </c>
      <c r="AS603" s="86" t="n">
        <f aca="false">AS608+AS613+AS616</f>
        <v>79.0168444444444</v>
      </c>
    </row>
    <row r="604" customFormat="false" ht="15" hidden="false" customHeight="false" outlineLevel="0" collapsed="false">
      <c r="AJ604" s="82" t="s">
        <v>284</v>
      </c>
      <c r="AK604" s="82" t="s">
        <v>285</v>
      </c>
      <c r="AO604" s="84" t="s">
        <v>123</v>
      </c>
      <c r="AP604" s="84" t="s">
        <v>286</v>
      </c>
      <c r="AQ604" s="84" t="s">
        <v>287</v>
      </c>
      <c r="AR604" s="84" t="s">
        <v>288</v>
      </c>
      <c r="AS604" s="84" t="s">
        <v>289</v>
      </c>
    </row>
    <row r="605" customFormat="false" ht="15" hidden="false" customHeight="false" outlineLevel="0" collapsed="false">
      <c r="AK605" s="87" t="s">
        <v>290</v>
      </c>
    </row>
    <row r="606" customFormat="false" ht="15" hidden="false" customHeight="false" outlineLevel="0" collapsed="false">
      <c r="AK606" s="1" t="s">
        <v>291</v>
      </c>
      <c r="AO606" s="55" t="s">
        <v>292</v>
      </c>
      <c r="AP606" s="56" t="n">
        <v>2</v>
      </c>
      <c r="AQ606" s="57" t="n">
        <f aca="false">AP606*8/$AM$603</f>
        <v>0.888888888888889</v>
      </c>
      <c r="AR606" s="28" t="n">
        <v>28.94</v>
      </c>
      <c r="AS606" s="28" t="n">
        <f aca="false">AQ606*AR606</f>
        <v>25.7244444444444</v>
      </c>
    </row>
    <row r="607" customFormat="false" ht="15" hidden="false" customHeight="false" outlineLevel="0" collapsed="false">
      <c r="AK607" s="1" t="s">
        <v>294</v>
      </c>
      <c r="AO607" s="55" t="s">
        <v>292</v>
      </c>
      <c r="AP607" s="56" t="n">
        <v>2</v>
      </c>
      <c r="AQ607" s="57" t="n">
        <f aca="false">AP607*8/$AM$603</f>
        <v>0.888888888888889</v>
      </c>
      <c r="AR607" s="28" t="n">
        <v>21.36</v>
      </c>
      <c r="AS607" s="28" t="n">
        <f aca="false">AQ607*AR607</f>
        <v>18.9866666666667</v>
      </c>
    </row>
    <row r="608" customFormat="false" ht="15" hidden="false" customHeight="false" outlineLevel="0" collapsed="false">
      <c r="AO608" s="55"/>
      <c r="AP608" s="56"/>
      <c r="AQ608" s="57"/>
      <c r="AR608" s="28"/>
      <c r="AS608" s="86" t="n">
        <f aca="false">SUM(AS606:AS607)</f>
        <v>44.7111111111111</v>
      </c>
    </row>
    <row r="609" customFormat="false" ht="15" hidden="false" customHeight="false" outlineLevel="0" collapsed="false">
      <c r="AK609" s="87" t="s">
        <v>654</v>
      </c>
      <c r="AO609" s="55"/>
      <c r="AP609" s="56"/>
      <c r="AQ609" s="57"/>
      <c r="AS609" s="28"/>
    </row>
    <row r="610" customFormat="false" ht="15" hidden="false" customHeight="false" outlineLevel="0" collapsed="false">
      <c r="AK610" s="1" t="s">
        <v>689</v>
      </c>
      <c r="AO610" s="55" t="s">
        <v>297</v>
      </c>
      <c r="AQ610" s="57" t="n">
        <v>0.1</v>
      </c>
      <c r="AR610" s="28" t="n">
        <v>2.64</v>
      </c>
      <c r="AS610" s="28" t="n">
        <f aca="false">AQ610*AR610</f>
        <v>0.264</v>
      </c>
    </row>
    <row r="611" customFormat="false" ht="15" hidden="false" customHeight="false" outlineLevel="0" collapsed="false">
      <c r="AK611" s="1" t="s">
        <v>302</v>
      </c>
      <c r="AO611" s="55" t="s">
        <v>297</v>
      </c>
      <c r="AQ611" s="57" t="n">
        <v>0.24</v>
      </c>
      <c r="AR611" s="28" t="n">
        <v>5.51</v>
      </c>
      <c r="AS611" s="28" t="n">
        <f aca="false">AQ611*AR611</f>
        <v>1.3224</v>
      </c>
    </row>
    <row r="612" customFormat="false" ht="15" hidden="false" customHeight="false" outlineLevel="0" collapsed="false">
      <c r="AK612" s="1" t="s">
        <v>670</v>
      </c>
      <c r="AO612" s="55" t="s">
        <v>306</v>
      </c>
      <c r="AQ612" s="57" t="n">
        <v>5.41</v>
      </c>
      <c r="AR612" s="28" t="n">
        <v>5.8</v>
      </c>
      <c r="AS612" s="28" t="n">
        <f aca="false">AQ612*AR612</f>
        <v>31.378</v>
      </c>
    </row>
    <row r="613" customFormat="false" ht="15" hidden="false" customHeight="false" outlineLevel="0" collapsed="false">
      <c r="AO613" s="55"/>
      <c r="AQ613" s="57"/>
      <c r="AR613" s="28"/>
      <c r="AS613" s="86" t="n">
        <f aca="false">SUM(AS610:AS612)</f>
        <v>32.9644</v>
      </c>
    </row>
    <row r="614" customFormat="false" ht="15" hidden="false" customHeight="false" outlineLevel="0" collapsed="false">
      <c r="AK614" s="87" t="s">
        <v>310</v>
      </c>
    </row>
    <row r="615" customFormat="false" ht="15" hidden="false" customHeight="false" outlineLevel="0" collapsed="false">
      <c r="AK615" s="1" t="s">
        <v>311</v>
      </c>
      <c r="AO615" s="55" t="s">
        <v>312</v>
      </c>
      <c r="AQ615" s="57" t="n">
        <v>3</v>
      </c>
      <c r="AR615" s="28" t="n">
        <f aca="false">AS608</f>
        <v>44.7111111111111</v>
      </c>
      <c r="AS615" s="28" t="n">
        <f aca="false">AQ615%*AR615</f>
        <v>1.34133333333333</v>
      </c>
    </row>
    <row r="616" customFormat="false" ht="15" hidden="false" customHeight="false" outlineLevel="0" collapsed="false">
      <c r="AJ616" s="60"/>
      <c r="AK616" s="60"/>
      <c r="AL616" s="60"/>
      <c r="AM616" s="60"/>
      <c r="AN616" s="60"/>
      <c r="AO616" s="60"/>
      <c r="AP616" s="60"/>
      <c r="AQ616" s="60"/>
      <c r="AR616" s="60"/>
      <c r="AS616" s="89" t="n">
        <f aca="false">SUM(AS615)</f>
        <v>1.34133333333333</v>
      </c>
    </row>
    <row r="617" customFormat="false" ht="15" hidden="false" customHeight="false" outlineLevel="0" collapsed="false">
      <c r="AS617" s="86"/>
    </row>
    <row r="618" customFormat="false" ht="15" hidden="false" customHeight="false" outlineLevel="0" collapsed="false">
      <c r="AJ618" s="82" t="s">
        <v>278</v>
      </c>
      <c r="AK618" s="82"/>
      <c r="AL618" s="82" t="s">
        <v>543</v>
      </c>
      <c r="AM618" s="82"/>
    </row>
    <row r="619" customFormat="false" ht="15" hidden="false" customHeight="false" outlineLevel="0" collapsed="false">
      <c r="AJ619" s="82" t="s">
        <v>279</v>
      </c>
      <c r="AK619" s="82" t="s">
        <v>417</v>
      </c>
      <c r="AL619" s="84" t="s">
        <v>281</v>
      </c>
      <c r="AM619" s="85" t="n">
        <v>20</v>
      </c>
      <c r="AN619" s="84" t="s">
        <v>282</v>
      </c>
      <c r="AO619" s="85" t="n">
        <f aca="false">AM619</f>
        <v>20</v>
      </c>
      <c r="AP619" s="82" t="s">
        <v>283</v>
      </c>
      <c r="AR619" s="84" t="s">
        <v>204</v>
      </c>
      <c r="AS619" s="86" t="n">
        <f aca="false">AS625+AS632+AS638</f>
        <v>419.77836</v>
      </c>
    </row>
    <row r="620" customFormat="false" ht="15" hidden="false" customHeight="false" outlineLevel="0" collapsed="false">
      <c r="AJ620" s="82" t="s">
        <v>284</v>
      </c>
      <c r="AK620" s="82" t="s">
        <v>285</v>
      </c>
      <c r="AO620" s="84" t="s">
        <v>123</v>
      </c>
      <c r="AP620" s="84" t="s">
        <v>286</v>
      </c>
      <c r="AQ620" s="84" t="s">
        <v>287</v>
      </c>
      <c r="AR620" s="84" t="s">
        <v>288</v>
      </c>
      <c r="AS620" s="84" t="s">
        <v>289</v>
      </c>
    </row>
    <row r="621" customFormat="false" ht="15" hidden="false" customHeight="false" outlineLevel="0" collapsed="false">
      <c r="AK621" s="87" t="s">
        <v>290</v>
      </c>
    </row>
    <row r="622" customFormat="false" ht="15" hidden="false" customHeight="false" outlineLevel="0" collapsed="false">
      <c r="AK622" s="1" t="s">
        <v>291</v>
      </c>
      <c r="AO622" s="55" t="s">
        <v>292</v>
      </c>
      <c r="AP622" s="56" t="n">
        <v>2</v>
      </c>
      <c r="AQ622" s="57" t="n">
        <f aca="false">AP622*8/$AM$619</f>
        <v>0.8</v>
      </c>
      <c r="AR622" s="28" t="n">
        <v>28.94</v>
      </c>
      <c r="AS622" s="28" t="n">
        <f aca="false">AQ622*AR622</f>
        <v>23.152</v>
      </c>
    </row>
    <row r="623" customFormat="false" ht="15" hidden="false" customHeight="false" outlineLevel="0" collapsed="false">
      <c r="AK623" s="1" t="s">
        <v>293</v>
      </c>
      <c r="AO623" s="55" t="s">
        <v>292</v>
      </c>
      <c r="AP623" s="56" t="n">
        <v>1</v>
      </c>
      <c r="AQ623" s="57" t="n">
        <f aca="false">AP623*8/$AM$619</f>
        <v>0.4</v>
      </c>
      <c r="AR623" s="28" t="n">
        <v>23.6</v>
      </c>
      <c r="AS623" s="28" t="n">
        <f aca="false">AQ623*AR623</f>
        <v>9.44</v>
      </c>
    </row>
    <row r="624" customFormat="false" ht="15" hidden="false" customHeight="false" outlineLevel="0" collapsed="false">
      <c r="AK624" s="1" t="s">
        <v>294</v>
      </c>
      <c r="AO624" s="55" t="s">
        <v>292</v>
      </c>
      <c r="AP624" s="56" t="n">
        <v>8</v>
      </c>
      <c r="AQ624" s="57" t="n">
        <f aca="false">AP624*8/$AM$619</f>
        <v>3.2</v>
      </c>
      <c r="AR624" s="28" t="n">
        <v>21.36</v>
      </c>
      <c r="AS624" s="28" t="n">
        <f aca="false">AQ624*AR624</f>
        <v>68.352</v>
      </c>
    </row>
    <row r="625" customFormat="false" ht="15" hidden="false" customHeight="false" outlineLevel="0" collapsed="false">
      <c r="AO625" s="55"/>
      <c r="AP625" s="56"/>
      <c r="AQ625" s="57"/>
      <c r="AS625" s="86" t="n">
        <f aca="false">SUM(AS622:AS624)</f>
        <v>100.944</v>
      </c>
    </row>
    <row r="626" customFormat="false" ht="15" hidden="false" customHeight="false" outlineLevel="0" collapsed="false">
      <c r="AK626" s="87" t="s">
        <v>654</v>
      </c>
      <c r="AO626" s="55"/>
      <c r="AP626" s="56"/>
      <c r="AQ626" s="57"/>
      <c r="AS626" s="28"/>
    </row>
    <row r="627" customFormat="false" ht="15" hidden="false" customHeight="false" outlineLevel="0" collapsed="false">
      <c r="AK627" s="1" t="s">
        <v>673</v>
      </c>
      <c r="AO627" s="55" t="s">
        <v>204</v>
      </c>
      <c r="AQ627" s="57" t="n">
        <v>0.53</v>
      </c>
      <c r="AR627" s="28" t="n">
        <v>55.08</v>
      </c>
      <c r="AS627" s="28" t="n">
        <f aca="false">AQ627*AR627</f>
        <v>29.1924</v>
      </c>
    </row>
    <row r="628" customFormat="false" ht="15" hidden="false" customHeight="false" outlineLevel="0" collapsed="false">
      <c r="AK628" s="1" t="s">
        <v>674</v>
      </c>
      <c r="AO628" s="55" t="s">
        <v>204</v>
      </c>
      <c r="AQ628" s="57" t="n">
        <v>0.52</v>
      </c>
      <c r="AR628" s="28" t="n">
        <v>47</v>
      </c>
      <c r="AS628" s="28" t="n">
        <f aca="false">AQ628*AR628</f>
        <v>24.44</v>
      </c>
    </row>
    <row r="629" customFormat="false" ht="15" hidden="false" customHeight="false" outlineLevel="0" collapsed="false">
      <c r="AK629" s="1" t="s">
        <v>307</v>
      </c>
      <c r="AO629" s="55" t="s">
        <v>308</v>
      </c>
      <c r="AQ629" s="57" t="n">
        <v>9.73</v>
      </c>
      <c r="AR629" s="28" t="n">
        <v>24.52</v>
      </c>
      <c r="AS629" s="28" t="n">
        <f aca="false">AQ629*AR629</f>
        <v>238.5796</v>
      </c>
    </row>
    <row r="630" customFormat="false" ht="15" hidden="false" customHeight="false" outlineLevel="0" collapsed="false">
      <c r="AK630" s="1" t="s">
        <v>656</v>
      </c>
      <c r="AO630" s="55" t="s">
        <v>204</v>
      </c>
      <c r="AQ630" s="57" t="n">
        <v>0.186</v>
      </c>
      <c r="AR630" s="1" t="n">
        <v>6.14</v>
      </c>
      <c r="AS630" s="28" t="n">
        <f aca="false">AQ630*AR630</f>
        <v>1.14204</v>
      </c>
    </row>
    <row r="631" customFormat="false" ht="15" hidden="false" customHeight="false" outlineLevel="0" collapsed="false">
      <c r="AK631" s="1" t="s">
        <v>666</v>
      </c>
      <c r="AO631" s="55" t="s">
        <v>440</v>
      </c>
      <c r="AQ631" s="57" t="n">
        <v>0.2</v>
      </c>
      <c r="AR631" s="1" t="n">
        <v>13.93</v>
      </c>
      <c r="AS631" s="28" t="n">
        <f aca="false">AQ631*AR631</f>
        <v>2.786</v>
      </c>
    </row>
    <row r="632" customFormat="false" ht="15" hidden="false" customHeight="false" outlineLevel="0" collapsed="false">
      <c r="AO632" s="55"/>
      <c r="AQ632" s="57"/>
      <c r="AR632" s="28"/>
      <c r="AS632" s="86" t="n">
        <f aca="false">SUM(AS627:AS631)</f>
        <v>296.14004</v>
      </c>
    </row>
    <row r="633" customFormat="false" ht="15" hidden="false" customHeight="false" outlineLevel="0" collapsed="false">
      <c r="AK633" s="87" t="s">
        <v>310</v>
      </c>
    </row>
    <row r="634" customFormat="false" ht="15" hidden="false" customHeight="false" outlineLevel="0" collapsed="false">
      <c r="AK634" s="1" t="s">
        <v>311</v>
      </c>
      <c r="AO634" s="55" t="s">
        <v>312</v>
      </c>
      <c r="AQ634" s="57" t="n">
        <v>3</v>
      </c>
      <c r="AR634" s="28" t="n">
        <f aca="false">AS625</f>
        <v>100.944</v>
      </c>
      <c r="AS634" s="28" t="n">
        <f aca="false">AQ634%*AR634</f>
        <v>3.02832</v>
      </c>
    </row>
    <row r="635" customFormat="false" ht="15" hidden="false" customHeight="false" outlineLevel="0" collapsed="false">
      <c r="AK635" s="1" t="s">
        <v>668</v>
      </c>
      <c r="AO635" s="55" t="s">
        <v>338</v>
      </c>
      <c r="AP635" s="56" t="n">
        <v>1</v>
      </c>
      <c r="AQ635" s="57" t="n">
        <f aca="false">AP635*8/$AM$619</f>
        <v>0.4</v>
      </c>
      <c r="AR635" s="28" t="n">
        <v>25.63</v>
      </c>
      <c r="AS635" s="28" t="n">
        <f aca="false">AQ635*AR635</f>
        <v>10.252</v>
      </c>
    </row>
    <row r="636" customFormat="false" ht="15" hidden="false" customHeight="false" outlineLevel="0" collapsed="false">
      <c r="AK636" s="1" t="s">
        <v>691</v>
      </c>
      <c r="AO636" s="55" t="s">
        <v>338</v>
      </c>
      <c r="AP636" s="56" t="n">
        <v>1</v>
      </c>
      <c r="AQ636" s="57" t="n">
        <f aca="false">AP636*8/$AM$619</f>
        <v>0.4</v>
      </c>
      <c r="AR636" s="28" t="n">
        <v>20</v>
      </c>
      <c r="AS636" s="28" t="n">
        <f aca="false">AQ636*AR636</f>
        <v>8</v>
      </c>
    </row>
    <row r="637" customFormat="false" ht="15" hidden="false" customHeight="false" outlineLevel="0" collapsed="false">
      <c r="AK637" s="1" t="s">
        <v>676</v>
      </c>
      <c r="AO637" s="55" t="s">
        <v>338</v>
      </c>
      <c r="AP637" s="56" t="n">
        <v>0.5</v>
      </c>
      <c r="AQ637" s="57" t="n">
        <f aca="false">AP637*8/$AM$619</f>
        <v>0.2</v>
      </c>
      <c r="AR637" s="1" t="n">
        <v>7.07</v>
      </c>
      <c r="AS637" s="28" t="n">
        <f aca="false">AQ637*AR637</f>
        <v>1.414</v>
      </c>
    </row>
    <row r="638" customFormat="false" ht="15" hidden="false" customHeight="false" outlineLevel="0" collapsed="false">
      <c r="AJ638" s="60"/>
      <c r="AK638" s="60"/>
      <c r="AL638" s="60"/>
      <c r="AM638" s="60"/>
      <c r="AN638" s="60"/>
      <c r="AO638" s="60"/>
      <c r="AP638" s="60"/>
      <c r="AQ638" s="60"/>
      <c r="AR638" s="60"/>
      <c r="AS638" s="89" t="n">
        <f aca="false">SUM(AS634:AS637)</f>
        <v>22.69432</v>
      </c>
    </row>
    <row r="639" customFormat="false" ht="15" hidden="false" customHeight="false" outlineLevel="0" collapsed="false">
      <c r="AO639" s="55"/>
      <c r="AQ639" s="57"/>
      <c r="AS639" s="28"/>
    </row>
    <row r="640" customFormat="false" ht="15" hidden="false" customHeight="false" outlineLevel="0" collapsed="false">
      <c r="AJ640" s="82" t="s">
        <v>278</v>
      </c>
      <c r="AK640" s="82"/>
      <c r="AL640" s="82" t="s">
        <v>692</v>
      </c>
      <c r="AM640" s="82"/>
    </row>
    <row r="641" customFormat="false" ht="15" hidden="false" customHeight="false" outlineLevel="0" collapsed="false">
      <c r="AJ641" s="82" t="s">
        <v>279</v>
      </c>
      <c r="AK641" s="82" t="s">
        <v>679</v>
      </c>
      <c r="AL641" s="84" t="s">
        <v>281</v>
      </c>
      <c r="AM641" s="85" t="n">
        <v>250</v>
      </c>
      <c r="AN641" s="84" t="s">
        <v>282</v>
      </c>
      <c r="AO641" s="85" t="n">
        <f aca="false">AM641</f>
        <v>250</v>
      </c>
      <c r="AP641" s="82" t="s">
        <v>283</v>
      </c>
      <c r="AR641" s="84" t="s">
        <v>297</v>
      </c>
      <c r="AS641" s="86" t="n">
        <f aca="false">AS646+AS650+AS654</f>
        <v>8.7959184</v>
      </c>
    </row>
    <row r="642" customFormat="false" ht="15" hidden="false" customHeight="false" outlineLevel="0" collapsed="false">
      <c r="AJ642" s="82" t="s">
        <v>284</v>
      </c>
      <c r="AK642" s="82" t="s">
        <v>285</v>
      </c>
      <c r="AO642" s="84" t="s">
        <v>123</v>
      </c>
      <c r="AP642" s="84" t="s">
        <v>286</v>
      </c>
      <c r="AQ642" s="84" t="s">
        <v>287</v>
      </c>
      <c r="AR642" s="84" t="s">
        <v>288</v>
      </c>
      <c r="AS642" s="84" t="s">
        <v>289</v>
      </c>
    </row>
    <row r="643" customFormat="false" ht="15" hidden="false" customHeight="false" outlineLevel="0" collapsed="false">
      <c r="AK643" s="87" t="s">
        <v>290</v>
      </c>
    </row>
    <row r="644" customFormat="false" ht="15" hidden="false" customHeight="false" outlineLevel="0" collapsed="false">
      <c r="AK644" s="1" t="s">
        <v>291</v>
      </c>
      <c r="AO644" s="55" t="s">
        <v>292</v>
      </c>
      <c r="AP644" s="56" t="n">
        <v>1</v>
      </c>
      <c r="AQ644" s="57" t="n">
        <f aca="false">AP644*8/$AM$641</f>
        <v>0.032</v>
      </c>
      <c r="AR644" s="28" t="n">
        <v>28.94</v>
      </c>
      <c r="AS644" s="28" t="n">
        <f aca="false">AQ644*AR644</f>
        <v>0.92608</v>
      </c>
    </row>
    <row r="645" customFormat="false" ht="15" hidden="false" customHeight="false" outlineLevel="0" collapsed="false">
      <c r="AK645" s="1" t="s">
        <v>680</v>
      </c>
      <c r="AO645" s="55" t="s">
        <v>292</v>
      </c>
      <c r="AP645" s="56" t="n">
        <v>1</v>
      </c>
      <c r="AQ645" s="57" t="n">
        <f aca="false">AP645*8/$AM$641</f>
        <v>0.032</v>
      </c>
      <c r="AR645" s="28" t="n">
        <v>23.6</v>
      </c>
      <c r="AS645" s="28" t="n">
        <f aca="false">AQ645*AR645</f>
        <v>0.7552</v>
      </c>
    </row>
    <row r="646" customFormat="false" ht="15" hidden="false" customHeight="false" outlineLevel="0" collapsed="false">
      <c r="AO646" s="55"/>
      <c r="AP646" s="56"/>
      <c r="AS646" s="86" t="n">
        <f aca="false">SUM(AS644:AS645)</f>
        <v>1.68128</v>
      </c>
    </row>
    <row r="647" customFormat="false" ht="15" hidden="false" customHeight="false" outlineLevel="0" collapsed="false">
      <c r="AK647" s="87" t="s">
        <v>295</v>
      </c>
      <c r="AO647" s="55"/>
      <c r="AP647" s="56"/>
      <c r="AQ647" s="99"/>
    </row>
    <row r="648" customFormat="false" ht="15" hidden="false" customHeight="false" outlineLevel="0" collapsed="false">
      <c r="AK648" s="1" t="s">
        <v>296</v>
      </c>
      <c r="AO648" s="55" t="s">
        <v>297</v>
      </c>
      <c r="AP648" s="56"/>
      <c r="AQ648" s="99" t="n">
        <v>0.03</v>
      </c>
      <c r="AR648" s="28" t="n">
        <v>2.64</v>
      </c>
      <c r="AS648" s="28" t="n">
        <f aca="false">AQ648*AR648</f>
        <v>0.0792</v>
      </c>
    </row>
    <row r="649" customFormat="false" ht="15" hidden="false" customHeight="false" outlineLevel="0" collapsed="false">
      <c r="AK649" s="1" t="s">
        <v>681</v>
      </c>
      <c r="AO649" s="55" t="s">
        <v>297</v>
      </c>
      <c r="AP649" s="56"/>
      <c r="AQ649" s="99" t="n">
        <v>1.05</v>
      </c>
      <c r="AR649" s="28" t="n">
        <v>6.5</v>
      </c>
      <c r="AS649" s="28" t="n">
        <f aca="false">AQ649*AR649</f>
        <v>6.825</v>
      </c>
    </row>
    <row r="650" customFormat="false" ht="15" hidden="false" customHeight="false" outlineLevel="0" collapsed="false">
      <c r="AO650" s="55"/>
      <c r="AP650" s="56"/>
      <c r="AS650" s="86" t="n">
        <f aca="false">SUM(AS648:AS649)</f>
        <v>6.9042</v>
      </c>
    </row>
    <row r="651" customFormat="false" ht="15" hidden="false" customHeight="false" outlineLevel="0" collapsed="false">
      <c r="AK651" s="87" t="s">
        <v>318</v>
      </c>
      <c r="AO651" s="55"/>
      <c r="AP651" s="56"/>
    </row>
    <row r="652" customFormat="false" ht="15" hidden="false" customHeight="false" outlineLevel="0" collapsed="false">
      <c r="AK652" s="1" t="s">
        <v>311</v>
      </c>
      <c r="AO652" s="55" t="s">
        <v>312</v>
      </c>
      <c r="AQ652" s="57" t="n">
        <v>3</v>
      </c>
      <c r="AR652" s="28" t="n">
        <f aca="false">AS646</f>
        <v>1.68128</v>
      </c>
      <c r="AS652" s="28" t="n">
        <f aca="false">AQ652%*AR652</f>
        <v>0.0504384</v>
      </c>
    </row>
    <row r="653" customFormat="false" ht="15" hidden="false" customHeight="false" outlineLevel="0" collapsed="false">
      <c r="AK653" s="1" t="s">
        <v>682</v>
      </c>
      <c r="AO653" s="55" t="s">
        <v>292</v>
      </c>
      <c r="AP653" s="56" t="n">
        <v>1</v>
      </c>
      <c r="AQ653" s="57" t="n">
        <f aca="false">AP653*8/$AM$641</f>
        <v>0.032</v>
      </c>
      <c r="AR653" s="28" t="n">
        <v>5</v>
      </c>
      <c r="AS653" s="28" t="n">
        <f aca="false">AQ653*AR653</f>
        <v>0.16</v>
      </c>
    </row>
    <row r="654" customFormat="false" ht="15" hidden="false" customHeight="false" outlineLevel="0" collapsed="false">
      <c r="AJ654" s="60"/>
      <c r="AK654" s="60"/>
      <c r="AL654" s="60"/>
      <c r="AM654" s="60"/>
      <c r="AN654" s="60"/>
      <c r="AO654" s="60"/>
      <c r="AP654" s="60"/>
      <c r="AQ654" s="60"/>
      <c r="AR654" s="60"/>
      <c r="AS654" s="89" t="n">
        <f aca="false">SUM(AS652:AS653)</f>
        <v>0.2104384</v>
      </c>
    </row>
    <row r="655" customFormat="false" ht="15" hidden="false" customHeight="false" outlineLevel="0" collapsed="false">
      <c r="AO655" s="55"/>
      <c r="AQ655" s="57"/>
      <c r="AS655" s="28"/>
    </row>
    <row r="656" customFormat="false" ht="15" hidden="false" customHeight="false" outlineLevel="0" collapsed="false">
      <c r="AO656" s="55"/>
      <c r="AQ656" s="57"/>
      <c r="AS656" s="28"/>
    </row>
    <row r="657" customFormat="false" ht="15" hidden="false" customHeight="false" outlineLevel="0" collapsed="false">
      <c r="AO657" s="55"/>
      <c r="AQ657" s="57"/>
      <c r="AS657" s="28"/>
    </row>
    <row r="658" customFormat="false" ht="15" hidden="false" customHeight="false" outlineLevel="0" collapsed="false">
      <c r="X658" s="14" t="s">
        <v>278</v>
      </c>
      <c r="Y658" s="14"/>
      <c r="Z658" s="14" t="s">
        <v>965</v>
      </c>
      <c r="AA658" s="14"/>
      <c r="AO658" s="55"/>
      <c r="AQ658" s="57"/>
      <c r="AS658" s="28"/>
    </row>
    <row r="659" customFormat="false" ht="15" hidden="false" customHeight="false" outlineLevel="0" collapsed="false">
      <c r="X659" s="14" t="s">
        <v>279</v>
      </c>
      <c r="Y659" s="14" t="s">
        <v>314</v>
      </c>
      <c r="Z659" s="36" t="s">
        <v>281</v>
      </c>
      <c r="AA659" s="52" t="n">
        <v>1</v>
      </c>
      <c r="AB659" s="36" t="s">
        <v>282</v>
      </c>
      <c r="AC659" s="52" t="n">
        <f aca="false">AA659</f>
        <v>1</v>
      </c>
      <c r="AD659" s="14" t="s">
        <v>283</v>
      </c>
      <c r="AF659" s="36" t="s">
        <v>145</v>
      </c>
      <c r="AG659" s="53" t="n">
        <f aca="false">AG663</f>
        <v>110.42</v>
      </c>
      <c r="AO659" s="55"/>
      <c r="AQ659" s="57"/>
      <c r="AS659" s="28"/>
    </row>
    <row r="660" customFormat="false" ht="15" hidden="false" customHeight="false" outlineLevel="0" collapsed="false">
      <c r="X660" s="14" t="s">
        <v>284</v>
      </c>
      <c r="Y660" s="14" t="s">
        <v>285</v>
      </c>
      <c r="AC660" s="36" t="s">
        <v>123</v>
      </c>
      <c r="AD660" s="36" t="s">
        <v>286</v>
      </c>
      <c r="AE660" s="36" t="s">
        <v>287</v>
      </c>
      <c r="AF660" s="36" t="s">
        <v>288</v>
      </c>
      <c r="AG660" s="36" t="s">
        <v>289</v>
      </c>
      <c r="AO660" s="55"/>
      <c r="AQ660" s="57"/>
      <c r="AS660" s="28"/>
    </row>
    <row r="661" customFormat="false" ht="15" hidden="false" customHeight="false" outlineLevel="0" collapsed="false">
      <c r="Y661" s="54" t="s">
        <v>295</v>
      </c>
      <c r="AO661" s="55"/>
      <c r="AQ661" s="57"/>
      <c r="AS661" s="28"/>
    </row>
    <row r="662" customFormat="false" ht="15" hidden="false" customHeight="false" outlineLevel="0" collapsed="false">
      <c r="Y662" s="1" t="s">
        <v>965</v>
      </c>
      <c r="AC662" s="55" t="s">
        <v>145</v>
      </c>
      <c r="AE662" s="1" t="n">
        <v>1</v>
      </c>
      <c r="AF662" s="28" t="n">
        <v>110.42</v>
      </c>
      <c r="AG662" s="28" t="n">
        <f aca="false">AE662*AF662</f>
        <v>110.42</v>
      </c>
      <c r="AO662" s="55"/>
      <c r="AQ662" s="57"/>
      <c r="AS662" s="28"/>
    </row>
    <row r="663" customFormat="false" ht="15" hidden="false" customHeight="false" outlineLevel="0" collapsed="false">
      <c r="X663" s="60"/>
      <c r="Y663" s="60"/>
      <c r="Z663" s="60"/>
      <c r="AA663" s="60"/>
      <c r="AB663" s="60"/>
      <c r="AC663" s="60"/>
      <c r="AD663" s="60"/>
      <c r="AE663" s="60"/>
      <c r="AF663" s="80"/>
      <c r="AG663" s="61" t="n">
        <f aca="false">SUM(AG662)</f>
        <v>110.42</v>
      </c>
      <c r="AO663" s="55"/>
      <c r="AQ663" s="57"/>
      <c r="AS663" s="28"/>
    </row>
    <row r="664" customFormat="false" ht="15" hidden="false" customHeight="false" outlineLevel="0" collapsed="false">
      <c r="AO664" s="55"/>
      <c r="AQ664" s="57"/>
      <c r="AS664" s="28"/>
    </row>
    <row r="665" customFormat="false" ht="15" hidden="false" customHeight="false" outlineLevel="0" collapsed="false">
      <c r="X665" s="14" t="s">
        <v>1324</v>
      </c>
      <c r="Y665" s="14"/>
      <c r="Z665" s="14" t="s">
        <v>648</v>
      </c>
      <c r="AA665" s="14"/>
      <c r="AB665" s="14"/>
      <c r="AC665" s="14"/>
      <c r="AD665" s="14"/>
      <c r="AE665" s="14"/>
      <c r="AF665" s="14"/>
      <c r="AO665" s="55"/>
      <c r="AQ665" s="57"/>
      <c r="AS665" s="28"/>
    </row>
    <row r="666" customFormat="false" ht="15" hidden="false" customHeight="false" outlineLevel="0" collapsed="false">
      <c r="X666" s="14" t="s">
        <v>279</v>
      </c>
      <c r="Y666" s="14" t="s">
        <v>314</v>
      </c>
      <c r="Z666" s="36" t="s">
        <v>281</v>
      </c>
      <c r="AA666" s="52" t="n">
        <v>100</v>
      </c>
      <c r="AB666" s="36" t="s">
        <v>282</v>
      </c>
      <c r="AC666" s="52" t="n">
        <f aca="false">AA666</f>
        <v>100</v>
      </c>
      <c r="AD666" s="14" t="s">
        <v>283</v>
      </c>
      <c r="AF666" s="36" t="s">
        <v>145</v>
      </c>
      <c r="AG666" s="53" t="n">
        <f aca="false">AG671+AG675+AG678</f>
        <v>18.8570064</v>
      </c>
      <c r="AO666" s="55"/>
      <c r="AQ666" s="57"/>
      <c r="AS666" s="28"/>
    </row>
    <row r="667" customFormat="false" ht="15" hidden="false" customHeight="false" outlineLevel="0" collapsed="false">
      <c r="X667" s="14" t="s">
        <v>284</v>
      </c>
      <c r="Y667" s="14" t="s">
        <v>285</v>
      </c>
      <c r="AC667" s="36" t="s">
        <v>123</v>
      </c>
      <c r="AD667" s="36" t="s">
        <v>286</v>
      </c>
      <c r="AE667" s="36" t="s">
        <v>287</v>
      </c>
      <c r="AF667" s="36" t="s">
        <v>288</v>
      </c>
      <c r="AG667" s="36" t="s">
        <v>289</v>
      </c>
      <c r="AO667" s="55"/>
      <c r="AQ667" s="57"/>
      <c r="AS667" s="28"/>
    </row>
    <row r="668" customFormat="false" ht="15" hidden="false" customHeight="false" outlineLevel="0" collapsed="false">
      <c r="Y668" s="54" t="s">
        <v>290</v>
      </c>
      <c r="AO668" s="55"/>
      <c r="AQ668" s="57"/>
      <c r="AS668" s="28"/>
    </row>
    <row r="669" customFormat="false" ht="15" hidden="false" customHeight="false" outlineLevel="0" collapsed="false">
      <c r="Y669" s="1" t="s">
        <v>651</v>
      </c>
      <c r="AC669" s="55" t="s">
        <v>292</v>
      </c>
      <c r="AD669" s="56" t="n">
        <v>0.2</v>
      </c>
      <c r="AE669" s="57" t="n">
        <f aca="false">AD669*8/$AA$666</f>
        <v>0.016</v>
      </c>
      <c r="AF669" s="28" t="n">
        <v>34.73</v>
      </c>
      <c r="AG669" s="28" t="n">
        <f aca="false">AE669*AF669</f>
        <v>0.55568</v>
      </c>
      <c r="AO669" s="55"/>
      <c r="AQ669" s="57"/>
      <c r="AS669" s="28"/>
    </row>
    <row r="670" customFormat="false" ht="15" hidden="false" customHeight="false" outlineLevel="0" collapsed="false">
      <c r="Y670" s="1" t="s">
        <v>291</v>
      </c>
      <c r="AC670" s="55" t="s">
        <v>292</v>
      </c>
      <c r="AD670" s="56" t="n">
        <v>1</v>
      </c>
      <c r="AE670" s="57" t="n">
        <f aca="false">AD670*8/$AA$666</f>
        <v>0.08</v>
      </c>
      <c r="AF670" s="28" t="n">
        <v>28.94</v>
      </c>
      <c r="AG670" s="28" t="n">
        <f aca="false">AE670*AF670</f>
        <v>2.3152</v>
      </c>
      <c r="AO670" s="55"/>
      <c r="AQ670" s="57"/>
      <c r="AS670" s="28"/>
    </row>
    <row r="671" customFormat="false" ht="15" hidden="false" customHeight="false" outlineLevel="0" collapsed="false">
      <c r="AC671" s="55"/>
      <c r="AD671" s="56"/>
      <c r="AE671" s="57"/>
      <c r="AF671" s="28"/>
      <c r="AG671" s="53" t="n">
        <f aca="false">SUM(AG669:AG670)</f>
        <v>2.87088</v>
      </c>
      <c r="AO671" s="55"/>
      <c r="AQ671" s="57"/>
      <c r="AS671" s="28"/>
    </row>
    <row r="672" customFormat="false" ht="15" hidden="false" customHeight="false" outlineLevel="0" collapsed="false">
      <c r="Y672" s="54" t="s">
        <v>295</v>
      </c>
      <c r="AC672" s="55"/>
      <c r="AO672" s="55"/>
      <c r="AQ672" s="57"/>
      <c r="AS672" s="28"/>
    </row>
    <row r="673" customFormat="false" ht="15" hidden="false" customHeight="false" outlineLevel="0" collapsed="false">
      <c r="Y673" s="1" t="s">
        <v>730</v>
      </c>
      <c r="AC673" s="55" t="s">
        <v>134</v>
      </c>
      <c r="AE673" s="57" t="n">
        <v>0.05</v>
      </c>
      <c r="AF673" s="28" t="n">
        <v>18</v>
      </c>
      <c r="AG673" s="28" t="n">
        <f aca="false">AE673*AF673</f>
        <v>0.9</v>
      </c>
      <c r="AO673" s="55"/>
      <c r="AQ673" s="57"/>
      <c r="AS673" s="28"/>
    </row>
    <row r="674" customFormat="false" ht="15" hidden="false" customHeight="false" outlineLevel="0" collapsed="false">
      <c r="Y674" s="1" t="s">
        <v>731</v>
      </c>
      <c r="AC674" s="55" t="s">
        <v>440</v>
      </c>
      <c r="AE674" s="57" t="n">
        <v>0.1</v>
      </c>
      <c r="AF674" s="28" t="n">
        <v>150</v>
      </c>
      <c r="AG674" s="28" t="n">
        <f aca="false">AE674*AF674</f>
        <v>15</v>
      </c>
      <c r="AO674" s="55"/>
      <c r="AQ674" s="57"/>
      <c r="AS674" s="28"/>
    </row>
    <row r="675" customFormat="false" ht="15" hidden="false" customHeight="false" outlineLevel="0" collapsed="false">
      <c r="AG675" s="53" t="n">
        <f aca="false">SUM(AG673:AG674)</f>
        <v>15.9</v>
      </c>
      <c r="AO675" s="55"/>
      <c r="AQ675" s="57"/>
      <c r="AS675" s="28"/>
    </row>
    <row r="676" customFormat="false" ht="15" hidden="false" customHeight="false" outlineLevel="0" collapsed="false">
      <c r="Y676" s="54" t="s">
        <v>318</v>
      </c>
      <c r="AO676" s="55"/>
      <c r="AQ676" s="57"/>
      <c r="AS676" s="28"/>
    </row>
    <row r="677" customFormat="false" ht="15" hidden="false" customHeight="false" outlineLevel="0" collapsed="false">
      <c r="Y677" s="1" t="s">
        <v>311</v>
      </c>
      <c r="AC677" s="55" t="s">
        <v>312</v>
      </c>
      <c r="AE677" s="57" t="n">
        <v>3</v>
      </c>
      <c r="AF677" s="28" t="n">
        <f aca="false">AG671</f>
        <v>2.87088</v>
      </c>
      <c r="AG677" s="28" t="n">
        <f aca="false">AE677%*AF677</f>
        <v>0.0861264</v>
      </c>
      <c r="AO677" s="55"/>
      <c r="AQ677" s="57"/>
      <c r="AS677" s="28"/>
    </row>
    <row r="678" customFormat="false" ht="15" hidden="false" customHeight="false" outlineLevel="0" collapsed="false">
      <c r="X678" s="60"/>
      <c r="Y678" s="60"/>
      <c r="Z678" s="60"/>
      <c r="AA678" s="60"/>
      <c r="AB678" s="60"/>
      <c r="AC678" s="60"/>
      <c r="AD678" s="60"/>
      <c r="AE678" s="60"/>
      <c r="AF678" s="60"/>
      <c r="AG678" s="89" t="n">
        <f aca="false">SUM(AG677)</f>
        <v>0.0861264</v>
      </c>
      <c r="AO678" s="55"/>
      <c r="AQ678" s="57"/>
      <c r="AS678" s="28"/>
    </row>
    <row r="679" customFormat="false" ht="15" hidden="false" customHeight="false" outlineLevel="0" collapsed="false">
      <c r="AO679" s="55"/>
      <c r="AQ679" s="57"/>
      <c r="AS679" s="28"/>
    </row>
    <row r="680" customFormat="false" ht="15" hidden="false" customHeight="false" outlineLevel="0" collapsed="false">
      <c r="X680" s="14" t="s">
        <v>1324</v>
      </c>
      <c r="Y680" s="14"/>
      <c r="Z680" s="14" t="s">
        <v>851</v>
      </c>
      <c r="AA680" s="14"/>
      <c r="AB680" s="14"/>
      <c r="AC680" s="14"/>
      <c r="AD680" s="14"/>
      <c r="AE680" s="14"/>
      <c r="AF680" s="14"/>
      <c r="AO680" s="55"/>
      <c r="AQ680" s="57"/>
      <c r="AS680" s="28"/>
    </row>
    <row r="681" customFormat="false" ht="15" hidden="false" customHeight="false" outlineLevel="0" collapsed="false">
      <c r="X681" s="14" t="s">
        <v>279</v>
      </c>
      <c r="Y681" s="14" t="s">
        <v>280</v>
      </c>
      <c r="Z681" s="36" t="s">
        <v>281</v>
      </c>
      <c r="AA681" s="52" t="n">
        <v>6.5</v>
      </c>
      <c r="AB681" s="36" t="s">
        <v>282</v>
      </c>
      <c r="AC681" s="52" t="n">
        <f aca="false">AA681</f>
        <v>6.5</v>
      </c>
      <c r="AD681" s="14" t="s">
        <v>283</v>
      </c>
      <c r="AF681" s="36" t="s">
        <v>134</v>
      </c>
      <c r="AG681" s="53" t="n">
        <f aca="false">AG687+AG695+AG698</f>
        <v>67.7683724615385</v>
      </c>
    </row>
    <row r="682" customFormat="false" ht="15" hidden="false" customHeight="false" outlineLevel="0" collapsed="false">
      <c r="X682" s="14" t="s">
        <v>284</v>
      </c>
      <c r="Y682" s="14" t="s">
        <v>285</v>
      </c>
      <c r="AC682" s="36" t="s">
        <v>123</v>
      </c>
      <c r="AD682" s="36" t="s">
        <v>286</v>
      </c>
      <c r="AE682" s="36" t="s">
        <v>287</v>
      </c>
      <c r="AF682" s="36" t="s">
        <v>288</v>
      </c>
      <c r="AG682" s="36" t="s">
        <v>289</v>
      </c>
    </row>
    <row r="683" customFormat="false" ht="15" hidden="false" customHeight="false" outlineLevel="0" collapsed="false">
      <c r="Y683" s="54" t="s">
        <v>290</v>
      </c>
    </row>
    <row r="684" customFormat="false" ht="15" hidden="false" customHeight="false" outlineLevel="0" collapsed="false">
      <c r="Y684" s="1" t="s">
        <v>651</v>
      </c>
      <c r="AC684" s="55" t="s">
        <v>292</v>
      </c>
      <c r="AD684" s="56" t="n">
        <v>0.1</v>
      </c>
      <c r="AE684" s="57" t="n">
        <f aca="false">AD684*8/$AA$681</f>
        <v>0.123076923076923</v>
      </c>
      <c r="AF684" s="28" t="n">
        <v>34.73</v>
      </c>
      <c r="AG684" s="28" t="n">
        <f aca="false">AE684*AF684</f>
        <v>4.27446153846154</v>
      </c>
    </row>
    <row r="685" customFormat="false" ht="15" hidden="false" customHeight="false" outlineLevel="0" collapsed="false">
      <c r="Y685" s="1" t="s">
        <v>291</v>
      </c>
      <c r="AC685" s="55" t="s">
        <v>292</v>
      </c>
      <c r="AD685" s="56" t="n">
        <v>1</v>
      </c>
      <c r="AE685" s="57" t="n">
        <f aca="false">AD685*8/$AA$681</f>
        <v>1.23076923076923</v>
      </c>
      <c r="AF685" s="28" t="n">
        <v>28.94</v>
      </c>
      <c r="AG685" s="28" t="n">
        <f aca="false">AE685*AF685</f>
        <v>35.6184615384615</v>
      </c>
    </row>
    <row r="686" customFormat="false" ht="15" hidden="false" customHeight="false" outlineLevel="0" collapsed="false">
      <c r="Y686" s="1" t="s">
        <v>294</v>
      </c>
      <c r="AC686" s="55" t="s">
        <v>292</v>
      </c>
      <c r="AD686" s="56" t="n">
        <v>0.4</v>
      </c>
      <c r="AE686" s="57" t="n">
        <f aca="false">AD686*8/$AA$681</f>
        <v>0.492307692307692</v>
      </c>
      <c r="AF686" s="28" t="n">
        <v>20.51</v>
      </c>
      <c r="AG686" s="28" t="n">
        <f aca="false">AE686*AF686</f>
        <v>10.0972307692308</v>
      </c>
    </row>
    <row r="687" customFormat="false" ht="15" hidden="false" customHeight="false" outlineLevel="0" collapsed="false">
      <c r="AE687" s="57"/>
      <c r="AG687" s="53" t="n">
        <f aca="false">SUM(AG684:AG686)</f>
        <v>49.9901538461539</v>
      </c>
    </row>
    <row r="688" customFormat="false" ht="15" hidden="false" customHeight="false" outlineLevel="0" collapsed="false">
      <c r="Y688" s="54" t="s">
        <v>295</v>
      </c>
      <c r="AC688" s="55"/>
    </row>
    <row r="689" customFormat="false" ht="15" hidden="false" customHeight="false" outlineLevel="0" collapsed="false">
      <c r="Y689" s="1" t="s">
        <v>665</v>
      </c>
      <c r="AC689" s="55" t="s">
        <v>204</v>
      </c>
      <c r="AE689" s="57" t="n">
        <v>0.004</v>
      </c>
      <c r="AF689" s="28" t="n">
        <v>6.14</v>
      </c>
      <c r="AG689" s="28" t="n">
        <f aca="false">AE689*AF689</f>
        <v>0.02456</v>
      </c>
    </row>
    <row r="690" customFormat="false" ht="15" hidden="false" customHeight="false" outlineLevel="0" collapsed="false">
      <c r="Y690" s="1" t="s">
        <v>302</v>
      </c>
      <c r="AC690" s="55" t="s">
        <v>297</v>
      </c>
      <c r="AE690" s="57" t="n">
        <v>0.044</v>
      </c>
      <c r="AF690" s="28" t="n">
        <v>5.51</v>
      </c>
      <c r="AG690" s="28" t="n">
        <f aca="false">AE690*AF690</f>
        <v>0.24244</v>
      </c>
    </row>
    <row r="691" customFormat="false" ht="15" hidden="false" customHeight="false" outlineLevel="0" collapsed="false">
      <c r="Y691" s="1" t="s">
        <v>966</v>
      </c>
      <c r="AC691" s="55" t="s">
        <v>306</v>
      </c>
      <c r="AE691" s="57" t="n">
        <v>0.0388</v>
      </c>
      <c r="AF691" s="28" t="n">
        <v>17.48</v>
      </c>
      <c r="AG691" s="28" t="n">
        <f aca="false">AE691*AF691</f>
        <v>0.678224</v>
      </c>
    </row>
    <row r="692" customFormat="false" ht="15" hidden="false" customHeight="false" outlineLevel="0" collapsed="false">
      <c r="Y692" s="1" t="s">
        <v>722</v>
      </c>
      <c r="AC692" s="55" t="s">
        <v>432</v>
      </c>
      <c r="AE692" s="57" t="n">
        <v>0.117</v>
      </c>
      <c r="AF692" s="28" t="n">
        <v>24.52</v>
      </c>
      <c r="AG692" s="28" t="n">
        <f aca="false">AE692*AF692</f>
        <v>2.86884</v>
      </c>
    </row>
    <row r="693" customFormat="false" ht="15" hidden="false" customHeight="false" outlineLevel="0" collapsed="false">
      <c r="Y693" s="1" t="s">
        <v>896</v>
      </c>
      <c r="AC693" s="55" t="s">
        <v>204</v>
      </c>
      <c r="AE693" s="57" t="n">
        <v>0.017</v>
      </c>
      <c r="AF693" s="28" t="n">
        <v>50.85</v>
      </c>
      <c r="AG693" s="28" t="n">
        <f aca="false">AE693*AF693</f>
        <v>0.86445</v>
      </c>
    </row>
    <row r="694" customFormat="false" ht="15" hidden="false" customHeight="false" outlineLevel="0" collapsed="false">
      <c r="Y694" s="1" t="s">
        <v>309</v>
      </c>
      <c r="AC694" s="55" t="s">
        <v>306</v>
      </c>
      <c r="AE694" s="57" t="n">
        <v>2</v>
      </c>
      <c r="AF694" s="28" t="n">
        <v>5.8</v>
      </c>
      <c r="AG694" s="28" t="n">
        <f aca="false">AE694*AF694</f>
        <v>11.6</v>
      </c>
    </row>
    <row r="695" customFormat="false" ht="15" hidden="false" customHeight="false" outlineLevel="0" collapsed="false">
      <c r="AG695" s="53" t="n">
        <f aca="false">SUM(AG689:AG694)</f>
        <v>16.278514</v>
      </c>
    </row>
    <row r="696" customFormat="false" ht="15" hidden="false" customHeight="false" outlineLevel="0" collapsed="false">
      <c r="Y696" s="54" t="s">
        <v>318</v>
      </c>
    </row>
    <row r="697" customFormat="false" ht="15" hidden="false" customHeight="false" outlineLevel="0" collapsed="false">
      <c r="Y697" s="1" t="s">
        <v>311</v>
      </c>
      <c r="AC697" s="55" t="s">
        <v>312</v>
      </c>
      <c r="AE697" s="57" t="n">
        <v>3</v>
      </c>
      <c r="AF697" s="28" t="n">
        <f aca="false">AG687</f>
        <v>49.9901538461539</v>
      </c>
      <c r="AG697" s="28" t="n">
        <f aca="false">AE697%*AF697</f>
        <v>1.49970461538462</v>
      </c>
    </row>
    <row r="698" customFormat="false" ht="15" hidden="false" customHeight="false" outlineLevel="0" collapsed="false">
      <c r="X698" s="60"/>
      <c r="Y698" s="60"/>
      <c r="Z698" s="60"/>
      <c r="AA698" s="60"/>
      <c r="AB698" s="60"/>
      <c r="AC698" s="60"/>
      <c r="AD698" s="60"/>
      <c r="AE698" s="60"/>
      <c r="AF698" s="60"/>
      <c r="AG698" s="61" t="n">
        <f aca="false">SUM(AG697)</f>
        <v>1.49970461538462</v>
      </c>
    </row>
    <row r="700" customFormat="false" ht="15" hidden="false" customHeight="false" outlineLevel="0" collapsed="false">
      <c r="X700" s="14" t="s">
        <v>1358</v>
      </c>
      <c r="Y700" s="14"/>
      <c r="Z700" s="14" t="s">
        <v>967</v>
      </c>
      <c r="AA700" s="14"/>
      <c r="AB700" s="14"/>
      <c r="AC700" s="14"/>
      <c r="AD700" s="14"/>
      <c r="AE700" s="14"/>
      <c r="AF700" s="14"/>
    </row>
    <row r="701" customFormat="false" ht="15" hidden="false" customHeight="false" outlineLevel="0" collapsed="false">
      <c r="X701" s="14" t="s">
        <v>279</v>
      </c>
      <c r="Y701" s="14" t="s">
        <v>280</v>
      </c>
      <c r="Z701" s="36" t="s">
        <v>281</v>
      </c>
      <c r="AA701" s="52" t="n">
        <v>1</v>
      </c>
      <c r="AB701" s="36" t="s">
        <v>282</v>
      </c>
      <c r="AC701" s="52" t="n">
        <f aca="false">AA701</f>
        <v>1</v>
      </c>
      <c r="AD701" s="14" t="s">
        <v>283</v>
      </c>
      <c r="AF701" s="36" t="s">
        <v>134</v>
      </c>
      <c r="AG701" s="53" t="n">
        <f aca="false">AG705</f>
        <v>39.51</v>
      </c>
    </row>
    <row r="702" customFormat="false" ht="15" hidden="false" customHeight="false" outlineLevel="0" collapsed="false">
      <c r="X702" s="14" t="s">
        <v>284</v>
      </c>
      <c r="Y702" s="14" t="s">
        <v>285</v>
      </c>
      <c r="AC702" s="36" t="s">
        <v>123</v>
      </c>
      <c r="AD702" s="36" t="s">
        <v>286</v>
      </c>
      <c r="AE702" s="36" t="s">
        <v>287</v>
      </c>
      <c r="AF702" s="36" t="s">
        <v>288</v>
      </c>
      <c r="AG702" s="36" t="s">
        <v>289</v>
      </c>
    </row>
    <row r="703" customFormat="false" ht="15" hidden="false" customHeight="false" outlineLevel="0" collapsed="false">
      <c r="Y703" s="54" t="s">
        <v>295</v>
      </c>
    </row>
    <row r="704" customFormat="false" ht="15" hidden="false" customHeight="false" outlineLevel="0" collapsed="false">
      <c r="Y704" s="1" t="s">
        <v>967</v>
      </c>
      <c r="AC704" s="55" t="s">
        <v>134</v>
      </c>
      <c r="AD704" s="56"/>
      <c r="AE704" s="57" t="n">
        <v>1</v>
      </c>
      <c r="AF704" s="1" t="n">
        <v>39.51</v>
      </c>
      <c r="AG704" s="28" t="n">
        <f aca="false">AE704*AF704</f>
        <v>39.51</v>
      </c>
    </row>
    <row r="705" customFormat="false" ht="15" hidden="false" customHeight="false" outlineLevel="0" collapsed="false">
      <c r="X705" s="60"/>
      <c r="Y705" s="60"/>
      <c r="Z705" s="60"/>
      <c r="AA705" s="60"/>
      <c r="AB705" s="60"/>
      <c r="AC705" s="60"/>
      <c r="AD705" s="60"/>
      <c r="AE705" s="60"/>
      <c r="AF705" s="60"/>
      <c r="AG705" s="61" t="n">
        <f aca="false">SUM(AG704)</f>
        <v>39.51</v>
      </c>
    </row>
    <row r="707" customFormat="false" ht="15" hidden="false" customHeight="false" outlineLevel="0" collapsed="false">
      <c r="X707" s="14" t="s">
        <v>1358</v>
      </c>
      <c r="Y707" s="14"/>
      <c r="Z707" s="14" t="s">
        <v>968</v>
      </c>
      <c r="AA707" s="14"/>
      <c r="AB707" s="14"/>
      <c r="AC707" s="14"/>
      <c r="AD707" s="14"/>
      <c r="AE707" s="14"/>
      <c r="AF707" s="14"/>
    </row>
    <row r="708" customFormat="false" ht="15" hidden="false" customHeight="false" outlineLevel="0" collapsed="false">
      <c r="X708" s="14" t="s">
        <v>279</v>
      </c>
      <c r="Y708" s="14" t="s">
        <v>280</v>
      </c>
      <c r="Z708" s="36" t="s">
        <v>281</v>
      </c>
      <c r="AA708" s="52" t="n">
        <v>1</v>
      </c>
      <c r="AB708" s="36" t="s">
        <v>282</v>
      </c>
      <c r="AC708" s="52" t="n">
        <f aca="false">AA708</f>
        <v>1</v>
      </c>
      <c r="AD708" s="14" t="s">
        <v>283</v>
      </c>
      <c r="AF708" s="36" t="s">
        <v>134</v>
      </c>
      <c r="AG708" s="53" t="n">
        <f aca="false">AG712</f>
        <v>17.38</v>
      </c>
    </row>
    <row r="709" customFormat="false" ht="15" hidden="false" customHeight="false" outlineLevel="0" collapsed="false">
      <c r="X709" s="14" t="s">
        <v>284</v>
      </c>
      <c r="Y709" s="14" t="s">
        <v>285</v>
      </c>
      <c r="AC709" s="36" t="s">
        <v>123</v>
      </c>
      <c r="AD709" s="36" t="s">
        <v>286</v>
      </c>
      <c r="AE709" s="36" t="s">
        <v>287</v>
      </c>
      <c r="AF709" s="36" t="s">
        <v>288</v>
      </c>
      <c r="AG709" s="36" t="s">
        <v>289</v>
      </c>
    </row>
    <row r="710" customFormat="false" ht="15" hidden="false" customHeight="false" outlineLevel="0" collapsed="false">
      <c r="Y710" s="54" t="s">
        <v>295</v>
      </c>
    </row>
    <row r="711" customFormat="false" ht="15" hidden="false" customHeight="false" outlineLevel="0" collapsed="false">
      <c r="Y711" s="1" t="s">
        <v>968</v>
      </c>
      <c r="AC711" s="55" t="s">
        <v>134</v>
      </c>
      <c r="AD711" s="56"/>
      <c r="AE711" s="57" t="n">
        <v>1</v>
      </c>
      <c r="AF711" s="1" t="n">
        <v>17.38</v>
      </c>
      <c r="AG711" s="28" t="n">
        <f aca="false">AE711*AF711</f>
        <v>17.38</v>
      </c>
    </row>
    <row r="712" customFormat="false" ht="15" hidden="false" customHeight="false" outlineLevel="0" collapsed="false">
      <c r="X712" s="60"/>
      <c r="Y712" s="60"/>
      <c r="Z712" s="60"/>
      <c r="AA712" s="60"/>
      <c r="AB712" s="60"/>
      <c r="AC712" s="60"/>
      <c r="AD712" s="60"/>
      <c r="AE712" s="60"/>
      <c r="AF712" s="60"/>
      <c r="AG712" s="61" t="n">
        <f aca="false">SUM(AG711)</f>
        <v>17.38</v>
      </c>
    </row>
    <row r="714" customFormat="false" ht="15" hidden="false" customHeight="false" outlineLevel="0" collapsed="false">
      <c r="M714" s="14" t="s">
        <v>278</v>
      </c>
      <c r="N714" s="14"/>
      <c r="O714" s="14" t="s">
        <v>753</v>
      </c>
      <c r="P714" s="14"/>
      <c r="Q714" s="14"/>
      <c r="R714" s="14"/>
      <c r="S714" s="14"/>
      <c r="T714" s="14"/>
      <c r="U714" s="14"/>
    </row>
    <row r="715" customFormat="false" ht="15" hidden="false" customHeight="false" outlineLevel="0" collapsed="false">
      <c r="M715" s="14" t="s">
        <v>279</v>
      </c>
      <c r="N715" s="14" t="s">
        <v>332</v>
      </c>
      <c r="O715" s="36" t="s">
        <v>281</v>
      </c>
      <c r="P715" s="52" t="n">
        <v>1</v>
      </c>
      <c r="Q715" s="36" t="s">
        <v>282</v>
      </c>
      <c r="R715" s="52" t="n">
        <f aca="false">P715</f>
        <v>1</v>
      </c>
      <c r="S715" s="14" t="s">
        <v>283</v>
      </c>
      <c r="U715" s="36" t="s">
        <v>155</v>
      </c>
      <c r="V715" s="53" t="n">
        <f aca="false">V719</f>
        <v>29580.5881071662</v>
      </c>
    </row>
    <row r="716" customFormat="false" ht="15" hidden="false" customHeight="false" outlineLevel="0" collapsed="false">
      <c r="M716" s="14" t="s">
        <v>284</v>
      </c>
      <c r="N716" s="14" t="s">
        <v>285</v>
      </c>
      <c r="R716" s="36" t="s">
        <v>123</v>
      </c>
      <c r="S716" s="36" t="s">
        <v>286</v>
      </c>
      <c r="T716" s="36" t="s">
        <v>287</v>
      </c>
      <c r="U716" s="36" t="s">
        <v>288</v>
      </c>
      <c r="V716" s="36" t="s">
        <v>289</v>
      </c>
    </row>
    <row r="717" customFormat="false" ht="15" hidden="false" customHeight="false" outlineLevel="0" collapsed="false">
      <c r="N717" s="54" t="s">
        <v>295</v>
      </c>
    </row>
    <row r="718" customFormat="false" ht="15" hidden="false" customHeight="false" outlineLevel="0" collapsed="false">
      <c r="N718" s="1" t="s">
        <v>753</v>
      </c>
      <c r="R718" s="55" t="s">
        <v>155</v>
      </c>
      <c r="S718" s="56"/>
      <c r="T718" s="57" t="n">
        <v>1</v>
      </c>
      <c r="U718" s="28" t="n">
        <v>29580.5881071662</v>
      </c>
      <c r="V718" s="28" t="n">
        <f aca="false">T718*U718</f>
        <v>29580.5881071662</v>
      </c>
    </row>
    <row r="719" customFormat="false" ht="15" hidden="false" customHeight="false" outlineLevel="0" collapsed="false">
      <c r="M719" s="60"/>
      <c r="N719" s="60"/>
      <c r="O719" s="60"/>
      <c r="P719" s="60"/>
      <c r="Q719" s="60"/>
      <c r="R719" s="60"/>
      <c r="S719" s="60"/>
      <c r="T719" s="60"/>
      <c r="U719" s="60"/>
      <c r="V719" s="61" t="n">
        <f aca="false">SUM(V718)</f>
        <v>29580.5881071662</v>
      </c>
    </row>
    <row r="720" customFormat="false" ht="15" hidden="false" customHeight="false" outlineLevel="0" collapsed="false">
      <c r="R720" s="55"/>
      <c r="S720" s="56"/>
      <c r="T720" s="57"/>
      <c r="U720" s="28"/>
      <c r="V720" s="28"/>
    </row>
    <row r="721" customFormat="false" ht="15" hidden="false" customHeight="false" outlineLevel="0" collapsed="false">
      <c r="M721" s="14"/>
      <c r="N721" s="14"/>
      <c r="O721" s="14"/>
      <c r="P721" s="14"/>
      <c r="Q721" s="14"/>
      <c r="R721" s="14"/>
      <c r="S721" s="14"/>
      <c r="T721" s="14"/>
      <c r="U721" s="14"/>
    </row>
    <row r="722" customFormat="false" ht="15" hidden="false" customHeight="false" outlineLevel="0" collapsed="false">
      <c r="M722" s="14"/>
      <c r="N722" s="14"/>
      <c r="O722" s="36"/>
      <c r="P722" s="52"/>
      <c r="Q722" s="36"/>
      <c r="R722" s="52"/>
      <c r="S722" s="14"/>
      <c r="U722" s="36"/>
      <c r="V722" s="53"/>
    </row>
    <row r="723" customFormat="false" ht="15" hidden="false" customHeight="false" outlineLevel="0" collapsed="false">
      <c r="M723" s="14"/>
      <c r="N723" s="14"/>
      <c r="R723" s="36"/>
      <c r="S723" s="36"/>
      <c r="T723" s="36"/>
      <c r="U723" s="36"/>
      <c r="V723" s="36"/>
    </row>
    <row r="724" customFormat="false" ht="15" hidden="false" customHeight="false" outlineLevel="0" collapsed="false">
      <c r="N724" s="54"/>
    </row>
    <row r="725" customFormat="false" ht="15" hidden="false" customHeight="false" outlineLevel="0" collapsed="false">
      <c r="R725" s="55"/>
      <c r="S725" s="56"/>
      <c r="T725" s="57"/>
      <c r="U725" s="28"/>
      <c r="V725" s="28"/>
    </row>
    <row r="726" customFormat="false" ht="15" hidden="false" customHeight="false" outlineLevel="0" collapsed="false">
      <c r="M726" s="60"/>
      <c r="N726" s="60"/>
      <c r="O726" s="60"/>
      <c r="P726" s="60"/>
      <c r="Q726" s="60"/>
      <c r="R726" s="60"/>
      <c r="S726" s="60"/>
      <c r="T726" s="60"/>
      <c r="U726" s="60"/>
      <c r="V726" s="6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2:AH4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8.59765625" defaultRowHeight="15" zeroHeight="false" outlineLevelRow="0" outlineLevelCol="0"/>
  <cols>
    <col collapsed="false" customWidth="true" hidden="false" outlineLevel="0" max="7" min="7" style="1" width="9.3"/>
    <col collapsed="false" customWidth="true" hidden="false" outlineLevel="0" max="12" min="12" style="1" width="14.86"/>
    <col collapsed="false" customWidth="true" hidden="false" outlineLevel="0" max="19" min="19" style="1" width="10.29"/>
    <col collapsed="false" customWidth="true" hidden="false" outlineLevel="0" max="22" min="22" style="1" width="9.43"/>
  </cols>
  <sheetData>
    <row r="2" customFormat="false" ht="15" hidden="false" customHeight="false" outlineLevel="0" collapsed="false">
      <c r="L2" s="157" t="s">
        <v>88</v>
      </c>
      <c r="M2" s="157" t="n">
        <f aca="false">'Datos iniciales '!B11</f>
        <v>3459.53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157"/>
    </row>
    <row r="4" customFormat="false" ht="15" hidden="false" customHeight="false" outlineLevel="0" collapsed="false">
      <c r="A4" s="15"/>
      <c r="E4" s="57"/>
      <c r="F4" s="204"/>
      <c r="G4" s="71"/>
      <c r="H4" s="204"/>
      <c r="J4" s="1" t="n">
        <f aca="false">SUM(I5:I24)</f>
        <v>2793281.8591624</v>
      </c>
      <c r="L4" s="157" t="s">
        <v>1369</v>
      </c>
      <c r="M4" s="157" t="n">
        <f aca="false">J4/M2</f>
        <v>807.416573685559</v>
      </c>
      <c r="P4" s="82" t="s">
        <v>278</v>
      </c>
      <c r="Q4" s="82"/>
      <c r="R4" s="82" t="s">
        <v>527</v>
      </c>
      <c r="S4" s="82"/>
    </row>
    <row r="5" customFormat="false" ht="15" hidden="false" customHeight="false" outlineLevel="0" collapsed="false">
      <c r="A5" s="15" t="s">
        <v>525</v>
      </c>
      <c r="E5" s="57"/>
      <c r="F5" s="204"/>
      <c r="G5" s="71"/>
      <c r="P5" s="82" t="s">
        <v>279</v>
      </c>
      <c r="Q5" s="82" t="s">
        <v>417</v>
      </c>
      <c r="R5" s="84" t="s">
        <v>281</v>
      </c>
      <c r="S5" s="85" t="n">
        <v>15</v>
      </c>
      <c r="T5" s="84" t="s">
        <v>282</v>
      </c>
      <c r="U5" s="85" t="n">
        <f aca="false">S5</f>
        <v>15</v>
      </c>
      <c r="V5" s="82" t="s">
        <v>283</v>
      </c>
      <c r="X5" s="84" t="s">
        <v>204</v>
      </c>
      <c r="Y5" s="86" t="n">
        <f aca="false">Y11+Y18+Y23</f>
        <v>402.684786666667</v>
      </c>
    </row>
    <row r="6" customFormat="false" ht="16.4" hidden="false" customHeight="false" outlineLevel="0" collapsed="false">
      <c r="A6" s="1" t="s">
        <v>527</v>
      </c>
      <c r="E6" s="1" t="n">
        <v>0.160129573170732</v>
      </c>
      <c r="F6" s="204" t="s">
        <v>204</v>
      </c>
      <c r="G6" s="71" t="n">
        <f aca="false">E6*$M$2</f>
        <v>553.973062271342</v>
      </c>
      <c r="H6" s="205" t="n">
        <f aca="false">Y5</f>
        <v>402.684786666667</v>
      </c>
      <c r="I6" s="1" t="n">
        <f aca="false">G6*H6</f>
        <v>223076.524399815</v>
      </c>
      <c r="P6" s="82" t="s">
        <v>284</v>
      </c>
      <c r="Q6" s="82" t="s">
        <v>285</v>
      </c>
      <c r="U6" s="84" t="s">
        <v>123</v>
      </c>
      <c r="V6" s="84" t="s">
        <v>286</v>
      </c>
      <c r="W6" s="84" t="s">
        <v>287</v>
      </c>
      <c r="X6" s="84" t="s">
        <v>288</v>
      </c>
      <c r="Y6" s="84" t="s">
        <v>289</v>
      </c>
    </row>
    <row r="7" customFormat="false" ht="16.4" hidden="false" customHeight="false" outlineLevel="0" collapsed="false">
      <c r="A7" s="1" t="s">
        <v>529</v>
      </c>
      <c r="E7" s="1" t="n">
        <v>1.16524390243902</v>
      </c>
      <c r="F7" s="204" t="s">
        <v>134</v>
      </c>
      <c r="G7" s="71" t="n">
        <f aca="false">E7*$M$2</f>
        <v>4031.19623780488</v>
      </c>
      <c r="H7" s="206" t="n">
        <f aca="false">Y26</f>
        <v>47.0115742857143</v>
      </c>
      <c r="I7" s="1" t="n">
        <f aca="false">G7*H7</f>
        <v>189512.881393856</v>
      </c>
      <c r="Q7" s="87" t="s">
        <v>290</v>
      </c>
    </row>
    <row r="8" customFormat="false" ht="16.4" hidden="false" customHeight="false" outlineLevel="0" collapsed="false">
      <c r="A8" s="1" t="s">
        <v>531</v>
      </c>
      <c r="F8" s="204" t="s">
        <v>297</v>
      </c>
      <c r="G8" s="207" t="n">
        <f aca="false">G6*170</f>
        <v>94175.4205861281</v>
      </c>
      <c r="H8" s="205" t="n">
        <f aca="false">Y43</f>
        <v>5.5639628445</v>
      </c>
      <c r="I8" s="1" t="n">
        <f aca="false">G8*H8</f>
        <v>523988.541006377</v>
      </c>
      <c r="J8" s="1" t="n">
        <f aca="false">G8/G6</f>
        <v>170</v>
      </c>
      <c r="Q8" s="1" t="s">
        <v>291</v>
      </c>
      <c r="U8" s="55" t="s">
        <v>292</v>
      </c>
      <c r="V8" s="56" t="n">
        <v>1</v>
      </c>
      <c r="W8" s="57" t="n">
        <f aca="false">V8*8/$S$5</f>
        <v>0.533333333333333</v>
      </c>
      <c r="X8" s="28" t="n">
        <v>28.94</v>
      </c>
      <c r="Y8" s="28" t="n">
        <f aca="false">W8*X8</f>
        <v>15.4346666666667</v>
      </c>
    </row>
    <row r="9" customFormat="false" ht="15" hidden="false" customHeight="false" outlineLevel="0" collapsed="false">
      <c r="A9" s="15" t="s">
        <v>541</v>
      </c>
      <c r="G9" s="71"/>
      <c r="Q9" s="1" t="s">
        <v>293</v>
      </c>
      <c r="U9" s="55" t="s">
        <v>292</v>
      </c>
      <c r="V9" s="56" t="n">
        <v>2</v>
      </c>
      <c r="W9" s="57" t="n">
        <f aca="false">V9*8/$S$5</f>
        <v>1.06666666666667</v>
      </c>
      <c r="X9" s="28" t="n">
        <v>23.6</v>
      </c>
      <c r="Y9" s="28" t="n">
        <f aca="false">W9*X9</f>
        <v>25.1733333333333</v>
      </c>
    </row>
    <row r="10" customFormat="false" ht="16.4" hidden="false" customHeight="false" outlineLevel="0" collapsed="false">
      <c r="A10" s="1" t="s">
        <v>543</v>
      </c>
      <c r="E10" s="1" t="n">
        <v>0.168490853658537</v>
      </c>
      <c r="F10" s="204" t="s">
        <v>204</v>
      </c>
      <c r="G10" s="71" t="n">
        <f aca="false">E10*$M$2</f>
        <v>582.899162957317</v>
      </c>
      <c r="H10" s="208" t="n">
        <f aca="false">Y61</f>
        <v>392.537930909091</v>
      </c>
      <c r="I10" s="1" t="n">
        <f aca="false">G10*H10</f>
        <v>228810.031355906</v>
      </c>
      <c r="Q10" s="1" t="s">
        <v>294</v>
      </c>
      <c r="U10" s="55" t="s">
        <v>292</v>
      </c>
      <c r="V10" s="56" t="n">
        <v>4</v>
      </c>
      <c r="W10" s="57" t="n">
        <f aca="false">V10*8/$S$5</f>
        <v>2.13333333333333</v>
      </c>
      <c r="X10" s="28" t="n">
        <v>21.36</v>
      </c>
      <c r="Y10" s="28" t="n">
        <f aca="false">W10*X10</f>
        <v>45.568</v>
      </c>
    </row>
    <row r="11" customFormat="false" ht="16.4" hidden="false" customHeight="false" outlineLevel="0" collapsed="false">
      <c r="A11" s="1" t="s">
        <v>545</v>
      </c>
      <c r="E11" s="1" t="n">
        <v>0.822259908536585</v>
      </c>
      <c r="F11" s="204" t="s">
        <v>134</v>
      </c>
      <c r="G11" s="71" t="n">
        <f aca="false">E11*$M$2</f>
        <v>2844.63282137957</v>
      </c>
      <c r="H11" s="209" t="n">
        <f aca="false">Y83</f>
        <v>50.7905142857143</v>
      </c>
      <c r="I11" s="1" t="n">
        <f aca="false">G11*H11</f>
        <v>144480.363951891</v>
      </c>
      <c r="U11" s="55"/>
      <c r="V11" s="56"/>
      <c r="W11" s="57"/>
      <c r="Y11" s="86" t="n">
        <f aca="false">SUM(Y8:Y10)</f>
        <v>86.176</v>
      </c>
    </row>
    <row r="12" customFormat="false" ht="16.4" hidden="false" customHeight="false" outlineLevel="0" collapsed="false">
      <c r="A12" s="1" t="s">
        <v>547</v>
      </c>
      <c r="F12" s="204" t="s">
        <v>297</v>
      </c>
      <c r="G12" s="207" t="n">
        <f aca="false">G10*140</f>
        <v>81605.8828140244</v>
      </c>
      <c r="H12" s="28" t="n">
        <f aca="false">Y99</f>
        <v>5.5639628445</v>
      </c>
      <c r="I12" s="1" t="n">
        <f aca="false">G12*H12</f>
        <v>454052.099869853</v>
      </c>
      <c r="J12" s="1" t="n">
        <f aca="false">G12/G10</f>
        <v>140</v>
      </c>
      <c r="Q12" s="87" t="s">
        <v>654</v>
      </c>
      <c r="U12" s="55"/>
      <c r="V12" s="56"/>
      <c r="W12" s="57"/>
      <c r="Y12" s="28"/>
    </row>
    <row r="13" customFormat="false" ht="15" hidden="false" customHeight="false" outlineLevel="0" collapsed="false">
      <c r="A13" s="15" t="s">
        <v>557</v>
      </c>
      <c r="G13" s="71"/>
      <c r="Q13" s="1" t="s">
        <v>673</v>
      </c>
      <c r="U13" s="55" t="s">
        <v>204</v>
      </c>
      <c r="W13" s="57" t="n">
        <v>0.53</v>
      </c>
      <c r="X13" s="28" t="n">
        <v>55.08</v>
      </c>
      <c r="Y13" s="28" t="n">
        <f aca="false">W13*X13</f>
        <v>29.1924</v>
      </c>
    </row>
    <row r="14" customFormat="false" ht="15" hidden="false" customHeight="false" outlineLevel="0" collapsed="false">
      <c r="A14" s="71" t="s">
        <v>559</v>
      </c>
      <c r="E14" s="1" t="n">
        <v>0.116875</v>
      </c>
      <c r="F14" s="1" t="s">
        <v>204</v>
      </c>
      <c r="G14" s="71" t="n">
        <f aca="false">E14*$M$2</f>
        <v>404.33256875</v>
      </c>
      <c r="H14" s="28" t="n">
        <f aca="false">Y115</f>
        <v>396.881736</v>
      </c>
      <c r="I14" s="1" t="n">
        <f aca="false">G14*H14</f>
        <v>160472.211806839</v>
      </c>
      <c r="Q14" s="1" t="s">
        <v>674</v>
      </c>
      <c r="U14" s="55" t="s">
        <v>204</v>
      </c>
      <c r="W14" s="57" t="n">
        <v>0.52</v>
      </c>
      <c r="X14" s="28" t="n">
        <v>47</v>
      </c>
      <c r="Y14" s="28" t="n">
        <f aca="false">W14*X14</f>
        <v>24.44</v>
      </c>
    </row>
    <row r="15" customFormat="false" ht="15" hidden="false" customHeight="false" outlineLevel="0" collapsed="false">
      <c r="A15" s="71" t="s">
        <v>561</v>
      </c>
      <c r="E15" s="1" t="n">
        <v>1.28136432926829</v>
      </c>
      <c r="F15" s="1" t="s">
        <v>134</v>
      </c>
      <c r="G15" s="71" t="n">
        <f aca="false">E15*$M$2</f>
        <v>4432.91833803354</v>
      </c>
      <c r="H15" s="46" t="n">
        <f aca="false">Y140</f>
        <v>43.4766</v>
      </c>
      <c r="I15" s="1" t="n">
        <f aca="false">G15*H15</f>
        <v>192728.217415349</v>
      </c>
      <c r="Q15" s="1" t="s">
        <v>307</v>
      </c>
      <c r="U15" s="55" t="s">
        <v>308</v>
      </c>
      <c r="W15" s="57" t="n">
        <v>9.73</v>
      </c>
      <c r="X15" s="28" t="n">
        <v>24.52</v>
      </c>
      <c r="Y15" s="28" t="n">
        <f aca="false">W15*X15</f>
        <v>238.5796</v>
      </c>
    </row>
    <row r="16" customFormat="false" ht="15" hidden="false" customHeight="false" outlineLevel="0" collapsed="false">
      <c r="A16" s="71" t="s">
        <v>563</v>
      </c>
      <c r="F16" s="1" t="s">
        <v>297</v>
      </c>
      <c r="G16" s="207" t="n">
        <f aca="false">G14*45</f>
        <v>18194.96559375</v>
      </c>
      <c r="H16" s="28" t="n">
        <f aca="false">Y157</f>
        <v>5.4833634845</v>
      </c>
      <c r="I16" s="1" t="n">
        <f aca="false">G16*H16</f>
        <v>99769.6099385027</v>
      </c>
      <c r="J16" s="1" t="n">
        <f aca="false">G16/G14</f>
        <v>45</v>
      </c>
      <c r="Q16" s="1" t="s">
        <v>656</v>
      </c>
      <c r="U16" s="55" t="s">
        <v>204</v>
      </c>
      <c r="W16" s="57" t="n">
        <v>0.186</v>
      </c>
      <c r="X16" s="1" t="n">
        <v>6.14</v>
      </c>
      <c r="Y16" s="28" t="n">
        <f aca="false">W16*X16</f>
        <v>1.14204</v>
      </c>
    </row>
    <row r="17" customFormat="false" ht="15" hidden="false" customHeight="false" outlineLevel="0" collapsed="false">
      <c r="A17" s="71" t="s">
        <v>565</v>
      </c>
      <c r="E17" s="1" t="n">
        <v>9.700625</v>
      </c>
      <c r="F17" s="1" t="s">
        <v>566</v>
      </c>
      <c r="G17" s="71" t="n">
        <f aca="false">E17*$M$2</f>
        <v>33559.60320625</v>
      </c>
      <c r="H17" s="28" t="n">
        <f aca="false">Y173</f>
        <v>2.715605</v>
      </c>
      <c r="I17" s="1" t="n">
        <f aca="false">G17*H17</f>
        <v>91134.6262649085</v>
      </c>
      <c r="Q17" s="1" t="s">
        <v>666</v>
      </c>
      <c r="U17" s="55" t="s">
        <v>440</v>
      </c>
      <c r="W17" s="57" t="n">
        <v>0.36</v>
      </c>
      <c r="X17" s="1" t="n">
        <v>13.93</v>
      </c>
      <c r="Y17" s="28" t="n">
        <f aca="false">W17*X17</f>
        <v>5.0148</v>
      </c>
    </row>
    <row r="18" customFormat="false" ht="15" hidden="false" customHeight="false" outlineLevel="0" collapsed="false">
      <c r="A18" s="72" t="s">
        <v>576</v>
      </c>
      <c r="B18" s="73"/>
      <c r="C18" s="73"/>
      <c r="U18" s="55"/>
      <c r="W18" s="57"/>
      <c r="X18" s="28"/>
      <c r="Y18" s="86" t="n">
        <f aca="false">SUM(Y13:Y17)</f>
        <v>298.36884</v>
      </c>
    </row>
    <row r="19" customFormat="false" ht="16.4" hidden="false" customHeight="false" outlineLevel="0" collapsed="false">
      <c r="A19" s="73" t="s">
        <v>527</v>
      </c>
      <c r="B19" s="73"/>
      <c r="C19" s="73"/>
      <c r="E19" s="73" t="n">
        <v>0.08</v>
      </c>
      <c r="F19" s="204" t="s">
        <v>204</v>
      </c>
      <c r="G19" s="71" t="n">
        <f aca="false">E19*$M$2</f>
        <v>276.7624</v>
      </c>
      <c r="H19" s="208" t="n">
        <f aca="false">Y189</f>
        <v>402.684786666667</v>
      </c>
      <c r="I19" s="1" t="n">
        <f aca="false">G19*H19</f>
        <v>111448.008001355</v>
      </c>
      <c r="Q19" s="87" t="s">
        <v>310</v>
      </c>
    </row>
    <row r="20" customFormat="false" ht="16.4" hidden="false" customHeight="false" outlineLevel="0" collapsed="false">
      <c r="A20" s="73" t="s">
        <v>529</v>
      </c>
      <c r="B20" s="73"/>
      <c r="C20" s="73"/>
      <c r="E20" s="73" t="n">
        <v>0.961</v>
      </c>
      <c r="F20" s="204" t="s">
        <v>134</v>
      </c>
      <c r="G20" s="71" t="n">
        <f aca="false">E20*$M$2</f>
        <v>3324.60833</v>
      </c>
      <c r="H20" s="46" t="n">
        <f aca="false">Y210</f>
        <v>47.5915742857143</v>
      </c>
      <c r="I20" s="1" t="n">
        <f aca="false">G20*H20</f>
        <v>158223.3443081</v>
      </c>
      <c r="Q20" s="1" t="s">
        <v>311</v>
      </c>
      <c r="U20" s="55" t="s">
        <v>312</v>
      </c>
      <c r="W20" s="57" t="n">
        <v>3</v>
      </c>
      <c r="X20" s="28" t="n">
        <f aca="false">Y11</f>
        <v>86.176</v>
      </c>
      <c r="Y20" s="28" t="n">
        <f aca="false">W20%*X20</f>
        <v>2.58528</v>
      </c>
    </row>
    <row r="21" customFormat="false" ht="16.4" hidden="false" customHeight="false" outlineLevel="0" collapsed="false">
      <c r="A21" s="73" t="s">
        <v>531</v>
      </c>
      <c r="B21" s="73"/>
      <c r="C21" s="73"/>
      <c r="E21" s="73"/>
      <c r="F21" s="204" t="s">
        <v>297</v>
      </c>
      <c r="G21" s="207" t="n">
        <f aca="false">G19*140</f>
        <v>38746.736</v>
      </c>
      <c r="H21" s="28" t="n">
        <f aca="false">Y227</f>
        <v>5.5639628445</v>
      </c>
      <c r="I21" s="1" t="n">
        <f aca="false">G21*H21</f>
        <v>215585.399449651</v>
      </c>
      <c r="J21" s="1" t="n">
        <f aca="false">G21/G19</f>
        <v>140</v>
      </c>
      <c r="Q21" s="1" t="s">
        <v>668</v>
      </c>
      <c r="U21" s="55" t="s">
        <v>338</v>
      </c>
      <c r="V21" s="56" t="n">
        <v>1</v>
      </c>
      <c r="W21" s="57" t="n">
        <f aca="false">V21*8/$S$5</f>
        <v>0.533333333333333</v>
      </c>
      <c r="X21" s="28" t="n">
        <v>25.63</v>
      </c>
      <c r="Y21" s="28" t="n">
        <f aca="false">W21*X21</f>
        <v>13.6693333333333</v>
      </c>
    </row>
    <row r="22" customFormat="false" ht="15" hidden="false" customHeight="false" outlineLevel="0" collapsed="false">
      <c r="A22" s="15"/>
      <c r="E22" s="57"/>
      <c r="G22" s="71"/>
      <c r="Q22" s="1" t="s">
        <v>676</v>
      </c>
      <c r="U22" s="55" t="s">
        <v>338</v>
      </c>
      <c r="V22" s="56" t="n">
        <v>0.5</v>
      </c>
      <c r="W22" s="57" t="n">
        <f aca="false">V22*8/$S$5</f>
        <v>0.266666666666667</v>
      </c>
      <c r="X22" s="28" t="n">
        <v>7.07</v>
      </c>
      <c r="Y22" s="28" t="n">
        <f aca="false">W22*X22</f>
        <v>1.88533333333333</v>
      </c>
    </row>
    <row r="23" customFormat="false" ht="15" hidden="false" customHeight="false" outlineLevel="0" collapsed="false">
      <c r="E23" s="57"/>
      <c r="F23" s="210"/>
      <c r="G23" s="71"/>
      <c r="H23" s="211"/>
      <c r="P23" s="60"/>
      <c r="Q23" s="60"/>
      <c r="R23" s="60"/>
      <c r="S23" s="60"/>
      <c r="T23" s="60"/>
      <c r="U23" s="60"/>
      <c r="V23" s="60"/>
      <c r="W23" s="60"/>
      <c r="X23" s="60"/>
      <c r="Y23" s="89" t="n">
        <f aca="false">SUM(Y20:Y22)</f>
        <v>18.1399466666667</v>
      </c>
    </row>
    <row r="24" customFormat="false" ht="15" hidden="false" customHeight="false" outlineLevel="0" collapsed="false">
      <c r="A24" s="69"/>
      <c r="E24" s="57"/>
      <c r="F24" s="210"/>
      <c r="G24" s="71"/>
      <c r="H24" s="208"/>
    </row>
    <row r="25" customFormat="false" ht="15" hidden="false" customHeight="false" outlineLevel="0" collapsed="false">
      <c r="P25" s="82" t="s">
        <v>278</v>
      </c>
      <c r="Q25" s="82"/>
      <c r="R25" s="82" t="s">
        <v>529</v>
      </c>
      <c r="S25" s="82"/>
    </row>
    <row r="26" customFormat="false" ht="15" hidden="false" customHeight="false" outlineLevel="0" collapsed="false">
      <c r="P26" s="82" t="s">
        <v>279</v>
      </c>
      <c r="Q26" s="82" t="s">
        <v>280</v>
      </c>
      <c r="R26" s="84" t="s">
        <v>281</v>
      </c>
      <c r="S26" s="85" t="n">
        <v>35</v>
      </c>
      <c r="T26" s="84" t="s">
        <v>282</v>
      </c>
      <c r="U26" s="85" t="n">
        <f aca="false">S26</f>
        <v>35</v>
      </c>
      <c r="V26" s="82" t="s">
        <v>283</v>
      </c>
      <c r="X26" s="84" t="s">
        <v>134</v>
      </c>
      <c r="Y26" s="86" t="n">
        <f aca="false">Y32+Y37+Y40</f>
        <v>47.0115742857143</v>
      </c>
    </row>
    <row r="27" customFormat="false" ht="15" hidden="false" customHeight="false" outlineLevel="0" collapsed="false">
      <c r="P27" s="82" t="s">
        <v>284</v>
      </c>
      <c r="Q27" s="82" t="s">
        <v>285</v>
      </c>
      <c r="U27" s="84" t="s">
        <v>123</v>
      </c>
      <c r="V27" s="84" t="s">
        <v>286</v>
      </c>
      <c r="W27" s="84" t="s">
        <v>287</v>
      </c>
      <c r="X27" s="84" t="s">
        <v>288</v>
      </c>
      <c r="Y27" s="84" t="s">
        <v>289</v>
      </c>
    </row>
    <row r="28" customFormat="false" ht="15" hidden="false" customHeight="false" outlineLevel="0" collapsed="false">
      <c r="Q28" s="87" t="s">
        <v>290</v>
      </c>
    </row>
    <row r="29" customFormat="false" ht="15" hidden="false" customHeight="false" outlineLevel="0" collapsed="false">
      <c r="Q29" s="1" t="s">
        <v>291</v>
      </c>
      <c r="U29" s="55" t="s">
        <v>292</v>
      </c>
      <c r="V29" s="56" t="n">
        <v>2</v>
      </c>
      <c r="W29" s="57" t="n">
        <f aca="false">V29*8/$S$26</f>
        <v>0.457142857142857</v>
      </c>
      <c r="X29" s="28" t="n">
        <v>28.94</v>
      </c>
      <c r="Y29" s="28" t="n">
        <f aca="false">W29*X29</f>
        <v>13.2297142857143</v>
      </c>
    </row>
    <row r="30" customFormat="false" ht="15" hidden="false" customHeight="false" outlineLevel="0" collapsed="false">
      <c r="Q30" s="1" t="s">
        <v>293</v>
      </c>
      <c r="U30" s="55" t="s">
        <v>292</v>
      </c>
      <c r="V30" s="56" t="n">
        <v>1</v>
      </c>
      <c r="W30" s="57" t="n">
        <f aca="false">V30*8/$S$26</f>
        <v>0.228571428571429</v>
      </c>
      <c r="X30" s="28" t="n">
        <v>23.6</v>
      </c>
      <c r="Y30" s="28" t="n">
        <f aca="false">W30*X30</f>
        <v>5.39428571428571</v>
      </c>
    </row>
    <row r="31" customFormat="false" ht="15" hidden="false" customHeight="false" outlineLevel="0" collapsed="false">
      <c r="Q31" s="1" t="s">
        <v>294</v>
      </c>
      <c r="U31" s="55" t="s">
        <v>292</v>
      </c>
      <c r="V31" s="56" t="n">
        <v>1</v>
      </c>
      <c r="W31" s="57" t="n">
        <f aca="false">V31*8/$S$26</f>
        <v>0.228571428571429</v>
      </c>
      <c r="X31" s="28" t="n">
        <v>21.36</v>
      </c>
      <c r="Y31" s="28" t="n">
        <f aca="false">W31*X31</f>
        <v>4.88228571428571</v>
      </c>
    </row>
    <row r="32" customFormat="false" ht="15" hidden="false" customHeight="false" outlineLevel="0" collapsed="false">
      <c r="U32" s="55"/>
      <c r="V32" s="56"/>
      <c r="W32" s="57"/>
      <c r="Y32" s="86" t="n">
        <f aca="false">SUM(Y29:Y31)</f>
        <v>23.5062857142857</v>
      </c>
    </row>
    <row r="33" customFormat="false" ht="15" hidden="false" customHeight="false" outlineLevel="0" collapsed="false">
      <c r="Q33" s="87" t="s">
        <v>654</v>
      </c>
      <c r="U33" s="55"/>
      <c r="V33" s="56"/>
      <c r="W33" s="57"/>
      <c r="Y33" s="28"/>
    </row>
    <row r="34" customFormat="false" ht="15" hidden="false" customHeight="false" outlineLevel="0" collapsed="false">
      <c r="Q34" s="1" t="s">
        <v>689</v>
      </c>
      <c r="U34" s="55" t="s">
        <v>297</v>
      </c>
      <c r="W34" s="57" t="n">
        <v>0.3</v>
      </c>
      <c r="X34" s="28" t="n">
        <v>2.64</v>
      </c>
      <c r="Y34" s="28" t="n">
        <f aca="false">W34*X34</f>
        <v>0.792</v>
      </c>
    </row>
    <row r="35" customFormat="false" ht="15" hidden="false" customHeight="false" outlineLevel="0" collapsed="false">
      <c r="Q35" s="1" t="s">
        <v>302</v>
      </c>
      <c r="U35" s="55" t="s">
        <v>297</v>
      </c>
      <c r="W35" s="57" t="n">
        <v>0.31</v>
      </c>
      <c r="X35" s="28" t="n">
        <v>5.51</v>
      </c>
      <c r="Y35" s="28" t="n">
        <f aca="false">W35*X35</f>
        <v>1.7081</v>
      </c>
    </row>
    <row r="36" customFormat="false" ht="15" hidden="false" customHeight="false" outlineLevel="0" collapsed="false">
      <c r="Q36" s="1" t="s">
        <v>670</v>
      </c>
      <c r="U36" s="55" t="s">
        <v>306</v>
      </c>
      <c r="W36" s="57" t="n">
        <v>3.5</v>
      </c>
      <c r="X36" s="28" t="n">
        <v>5.8</v>
      </c>
      <c r="Y36" s="28" t="n">
        <f aca="false">W36*X36</f>
        <v>20.3</v>
      </c>
    </row>
    <row r="37" customFormat="false" ht="15" hidden="false" customHeight="false" outlineLevel="0" collapsed="false">
      <c r="U37" s="55"/>
      <c r="W37" s="57"/>
      <c r="X37" s="28"/>
      <c r="Y37" s="86" t="n">
        <f aca="false">SUM(Y34:Y36)</f>
        <v>22.8001</v>
      </c>
    </row>
    <row r="38" customFormat="false" ht="15" hidden="false" customHeight="false" outlineLevel="0" collapsed="false">
      <c r="Q38" s="87" t="s">
        <v>310</v>
      </c>
    </row>
    <row r="39" customFormat="false" ht="15" hidden="false" customHeight="false" outlineLevel="0" collapsed="false">
      <c r="Q39" s="1" t="s">
        <v>311</v>
      </c>
      <c r="U39" s="55" t="s">
        <v>312</v>
      </c>
      <c r="W39" s="57" t="n">
        <v>3</v>
      </c>
      <c r="X39" s="28" t="n">
        <f aca="false">Y32</f>
        <v>23.5062857142857</v>
      </c>
      <c r="Y39" s="28" t="n">
        <f aca="false">W39%*X39</f>
        <v>0.705188571428571</v>
      </c>
    </row>
    <row r="40" customFormat="false" ht="15" hidden="false" customHeight="false" outlineLevel="0" collapsed="false">
      <c r="P40" s="60"/>
      <c r="Q40" s="60"/>
      <c r="R40" s="60"/>
      <c r="S40" s="60"/>
      <c r="T40" s="60"/>
      <c r="U40" s="60"/>
      <c r="V40" s="60"/>
      <c r="W40" s="60"/>
      <c r="X40" s="60"/>
      <c r="Y40" s="89" t="n">
        <f aca="false">SUM(Y39)</f>
        <v>0.705188571428571</v>
      </c>
    </row>
    <row r="42" customFormat="false" ht="15" hidden="false" customHeight="false" outlineLevel="0" collapsed="false">
      <c r="P42" s="82" t="s">
        <v>278</v>
      </c>
      <c r="Q42" s="82"/>
      <c r="R42" s="82" t="s">
        <v>531</v>
      </c>
      <c r="S42" s="82"/>
    </row>
    <row r="43" customFormat="false" ht="15" hidden="false" customHeight="false" outlineLevel="0" collapsed="false">
      <c r="P43" s="82" t="s">
        <v>279</v>
      </c>
      <c r="Q43" s="82" t="s">
        <v>280</v>
      </c>
      <c r="R43" s="84" t="s">
        <v>281</v>
      </c>
      <c r="S43" s="85" t="n">
        <v>250</v>
      </c>
      <c r="T43" s="84" t="s">
        <v>282</v>
      </c>
      <c r="U43" s="85" t="n">
        <f aca="false">S43</f>
        <v>250</v>
      </c>
      <c r="V43" s="82" t="s">
        <v>283</v>
      </c>
      <c r="X43" s="84" t="s">
        <v>134</v>
      </c>
      <c r="Y43" s="86" t="n">
        <f aca="false">Y48+Y52+Y56</f>
        <v>5.5639628445</v>
      </c>
    </row>
    <row r="44" customFormat="false" ht="15" hidden="false" customHeight="false" outlineLevel="0" collapsed="false">
      <c r="E44" s="57"/>
      <c r="P44" s="82" t="s">
        <v>284</v>
      </c>
      <c r="Q44" s="82" t="s">
        <v>285</v>
      </c>
      <c r="U44" s="84" t="s">
        <v>123</v>
      </c>
      <c r="V44" s="84" t="s">
        <v>286</v>
      </c>
      <c r="W44" s="84" t="s">
        <v>287</v>
      </c>
      <c r="X44" s="84" t="s">
        <v>288</v>
      </c>
      <c r="Y44" s="84" t="s">
        <v>289</v>
      </c>
    </row>
    <row r="45" customFormat="false" ht="15" hidden="false" customHeight="false" outlineLevel="0" collapsed="false">
      <c r="E45" s="57"/>
      <c r="Q45" s="87" t="s">
        <v>290</v>
      </c>
    </row>
    <row r="46" customFormat="false" ht="15" hidden="false" customHeight="false" outlineLevel="0" collapsed="false">
      <c r="Q46" s="1" t="s">
        <v>291</v>
      </c>
      <c r="U46" s="55" t="s">
        <v>292</v>
      </c>
      <c r="V46" s="56" t="n">
        <v>1</v>
      </c>
      <c r="W46" s="99" t="n">
        <f aca="false">V46*8/$S$43</f>
        <v>0.032</v>
      </c>
      <c r="X46" s="28" t="n">
        <v>28.94</v>
      </c>
      <c r="Y46" s="28" t="n">
        <f aca="false">W46*X46</f>
        <v>0.92608</v>
      </c>
    </row>
    <row r="47" customFormat="false" ht="15" hidden="false" customHeight="false" outlineLevel="0" collapsed="false">
      <c r="Q47" s="1" t="s">
        <v>680</v>
      </c>
      <c r="U47" s="55" t="s">
        <v>292</v>
      </c>
      <c r="V47" s="56" t="n">
        <v>1</v>
      </c>
      <c r="W47" s="99" t="n">
        <f aca="false">V47*8/$S$43</f>
        <v>0.032</v>
      </c>
      <c r="X47" s="28" t="n">
        <v>23.6</v>
      </c>
      <c r="Y47" s="28" t="n">
        <f aca="false">W47*X47</f>
        <v>0.7552</v>
      </c>
    </row>
    <row r="48" customFormat="false" ht="15" hidden="false" customHeight="false" outlineLevel="0" collapsed="false">
      <c r="U48" s="55"/>
      <c r="V48" s="56"/>
      <c r="Y48" s="124" t="n">
        <f aca="false">SUM(Y46:Y47)</f>
        <v>1.68128</v>
      </c>
    </row>
    <row r="49" customFormat="false" ht="15" hidden="false" customHeight="false" outlineLevel="0" collapsed="false">
      <c r="Q49" s="125" t="s">
        <v>295</v>
      </c>
      <c r="U49" s="55"/>
      <c r="V49" s="56"/>
      <c r="W49" s="99"/>
    </row>
    <row r="50" customFormat="false" ht="15" hidden="false" customHeight="false" outlineLevel="0" collapsed="false">
      <c r="Q50" s="1" t="s">
        <v>296</v>
      </c>
      <c r="U50" s="55" t="s">
        <v>297</v>
      </c>
      <c r="V50" s="56"/>
      <c r="W50" s="99" t="n">
        <v>0.03</v>
      </c>
      <c r="X50" s="28" t="n">
        <v>2.64</v>
      </c>
      <c r="Y50" s="28" t="n">
        <f aca="false">W50*X50</f>
        <v>0.0792</v>
      </c>
    </row>
    <row r="51" customFormat="false" ht="15" hidden="false" customHeight="false" outlineLevel="0" collapsed="false">
      <c r="Q51" s="1" t="s">
        <v>681</v>
      </c>
      <c r="U51" s="55" t="s">
        <v>297</v>
      </c>
      <c r="V51" s="56"/>
      <c r="W51" s="99" t="n">
        <v>1.05</v>
      </c>
      <c r="X51" s="28" t="n">
        <f aca="false">1012.71*3.379/1000</f>
        <v>3.42194709</v>
      </c>
      <c r="Y51" s="28" t="n">
        <f aca="false">W51*X51</f>
        <v>3.5930444445</v>
      </c>
    </row>
    <row r="52" customFormat="false" ht="15" hidden="false" customHeight="false" outlineLevel="0" collapsed="false">
      <c r="U52" s="55"/>
      <c r="V52" s="56"/>
      <c r="Y52" s="124" t="n">
        <f aca="false">SUM(Y50:Y51)</f>
        <v>3.6722444445</v>
      </c>
    </row>
    <row r="53" customFormat="false" ht="15" hidden="false" customHeight="false" outlineLevel="0" collapsed="false">
      <c r="Q53" s="125" t="s">
        <v>318</v>
      </c>
      <c r="U53" s="55"/>
      <c r="V53" s="56"/>
    </row>
    <row r="54" customFormat="false" ht="15" hidden="false" customHeight="false" outlineLevel="0" collapsed="false">
      <c r="Q54" s="1" t="s">
        <v>311</v>
      </c>
      <c r="U54" s="55" t="s">
        <v>312</v>
      </c>
      <c r="W54" s="57" t="n">
        <v>3</v>
      </c>
      <c r="X54" s="28" t="n">
        <f aca="false">Y48</f>
        <v>1.68128</v>
      </c>
      <c r="Y54" s="28" t="n">
        <f aca="false">W54%*X54</f>
        <v>0.0504384</v>
      </c>
    </row>
    <row r="55" customFormat="false" ht="15" hidden="false" customHeight="false" outlineLevel="0" collapsed="false">
      <c r="Q55" s="1" t="s">
        <v>682</v>
      </c>
      <c r="U55" s="55" t="s">
        <v>292</v>
      </c>
      <c r="V55" s="56" t="n">
        <v>1</v>
      </c>
      <c r="W55" s="99" t="n">
        <f aca="false">V55*8/$S$43</f>
        <v>0.032</v>
      </c>
      <c r="X55" s="46" t="n">
        <v>5</v>
      </c>
      <c r="Y55" s="28" t="n">
        <f aca="false">W55*X55</f>
        <v>0.16</v>
      </c>
    </row>
    <row r="56" customFormat="false" ht="15" hidden="false" customHeight="false" outlineLevel="0" collapsed="false">
      <c r="P56" s="60"/>
      <c r="Q56" s="60"/>
      <c r="R56" s="60"/>
      <c r="S56" s="60"/>
      <c r="T56" s="60"/>
      <c r="U56" s="60"/>
      <c r="V56" s="60"/>
      <c r="W56" s="60"/>
      <c r="X56" s="60"/>
      <c r="Y56" s="126" t="n">
        <f aca="false">SUM(Y54:Y55)</f>
        <v>0.2104384</v>
      </c>
    </row>
    <row r="60" customFormat="false" ht="15" hidden="false" customHeight="false" outlineLevel="0" collapsed="false">
      <c r="P60" s="82" t="s">
        <v>278</v>
      </c>
      <c r="Q60" s="82"/>
      <c r="R60" s="82" t="s">
        <v>543</v>
      </c>
      <c r="S60" s="82"/>
    </row>
    <row r="61" customFormat="false" ht="15" hidden="false" customHeight="false" outlineLevel="0" collapsed="false">
      <c r="P61" s="82" t="s">
        <v>279</v>
      </c>
      <c r="Q61" s="82" t="s">
        <v>417</v>
      </c>
      <c r="R61" s="84" t="s">
        <v>281</v>
      </c>
      <c r="S61" s="85" t="n">
        <v>22</v>
      </c>
      <c r="T61" s="84" t="s">
        <v>282</v>
      </c>
      <c r="U61" s="85" t="n">
        <f aca="false">S61</f>
        <v>22</v>
      </c>
      <c r="V61" s="82" t="s">
        <v>283</v>
      </c>
      <c r="X61" s="84" t="s">
        <v>204</v>
      </c>
      <c r="Y61" s="86" t="n">
        <f aca="false">Y67+Y74+Y80</f>
        <v>392.537930909091</v>
      </c>
    </row>
    <row r="62" customFormat="false" ht="15" hidden="false" customHeight="false" outlineLevel="0" collapsed="false">
      <c r="P62" s="82" t="s">
        <v>284</v>
      </c>
      <c r="Q62" s="82" t="s">
        <v>285</v>
      </c>
      <c r="U62" s="84" t="s">
        <v>123</v>
      </c>
      <c r="V62" s="84" t="s">
        <v>286</v>
      </c>
      <c r="W62" s="84" t="s">
        <v>287</v>
      </c>
      <c r="X62" s="84" t="s">
        <v>288</v>
      </c>
      <c r="Y62" s="84" t="s">
        <v>289</v>
      </c>
    </row>
    <row r="63" customFormat="false" ht="15" hidden="false" customHeight="false" outlineLevel="0" collapsed="false">
      <c r="Q63" s="87" t="s">
        <v>290</v>
      </c>
    </row>
    <row r="64" customFormat="false" ht="15" hidden="false" customHeight="false" outlineLevel="0" collapsed="false">
      <c r="Q64" s="1" t="s">
        <v>291</v>
      </c>
      <c r="U64" s="55" t="s">
        <v>292</v>
      </c>
      <c r="V64" s="56" t="n">
        <v>2</v>
      </c>
      <c r="W64" s="57" t="n">
        <f aca="false">V64*8/$S$61</f>
        <v>0.727272727272727</v>
      </c>
      <c r="X64" s="28" t="n">
        <v>28.94</v>
      </c>
      <c r="Y64" s="28" t="n">
        <f aca="false">W64*X64</f>
        <v>21.0472727272727</v>
      </c>
    </row>
    <row r="65" customFormat="false" ht="15" hidden="false" customHeight="false" outlineLevel="0" collapsed="false">
      <c r="Q65" s="1" t="s">
        <v>293</v>
      </c>
      <c r="U65" s="55" t="s">
        <v>292</v>
      </c>
      <c r="V65" s="56" t="n">
        <v>1</v>
      </c>
      <c r="W65" s="57" t="n">
        <f aca="false">V65*8/$S$61</f>
        <v>0.363636363636364</v>
      </c>
      <c r="X65" s="28" t="n">
        <v>23.6</v>
      </c>
      <c r="Y65" s="28" t="n">
        <f aca="false">W65*X65</f>
        <v>8.58181818181818</v>
      </c>
    </row>
    <row r="66" customFormat="false" ht="15" hidden="false" customHeight="false" outlineLevel="0" collapsed="false">
      <c r="Q66" s="1" t="s">
        <v>294</v>
      </c>
      <c r="U66" s="55" t="s">
        <v>292</v>
      </c>
      <c r="V66" s="56" t="n">
        <v>6</v>
      </c>
      <c r="W66" s="57" t="n">
        <f aca="false">V66*8/$S$61</f>
        <v>2.18181818181818</v>
      </c>
      <c r="X66" s="28" t="n">
        <v>21.36</v>
      </c>
      <c r="Y66" s="28" t="n">
        <f aca="false">W66*X66</f>
        <v>46.6036363636364</v>
      </c>
    </row>
    <row r="67" customFormat="false" ht="15" hidden="false" customHeight="false" outlineLevel="0" collapsed="false">
      <c r="U67" s="55"/>
      <c r="V67" s="56"/>
      <c r="W67" s="57"/>
      <c r="Y67" s="86" t="n">
        <f aca="false">SUM(Y64:Y66)</f>
        <v>76.2327272727273</v>
      </c>
    </row>
    <row r="68" customFormat="false" ht="15" hidden="false" customHeight="false" outlineLevel="0" collapsed="false">
      <c r="Q68" s="87" t="s">
        <v>654</v>
      </c>
      <c r="U68" s="55"/>
      <c r="V68" s="56"/>
      <c r="W68" s="57"/>
      <c r="Y68" s="28"/>
    </row>
    <row r="69" customFormat="false" ht="15" hidden="false" customHeight="false" outlineLevel="0" collapsed="false">
      <c r="Q69" s="1" t="s">
        <v>673</v>
      </c>
      <c r="U69" s="55" t="s">
        <v>204</v>
      </c>
      <c r="W69" s="57" t="n">
        <v>0.53</v>
      </c>
      <c r="X69" s="28" t="n">
        <v>55.08</v>
      </c>
      <c r="Y69" s="28" t="n">
        <f aca="false">W69*X69</f>
        <v>29.1924</v>
      </c>
    </row>
    <row r="70" customFormat="false" ht="15" hidden="false" customHeight="false" outlineLevel="0" collapsed="false">
      <c r="Q70" s="1" t="s">
        <v>674</v>
      </c>
      <c r="U70" s="55" t="s">
        <v>204</v>
      </c>
      <c r="W70" s="57" t="n">
        <v>0.52</v>
      </c>
      <c r="X70" s="28" t="n">
        <v>47</v>
      </c>
      <c r="Y70" s="28" t="n">
        <f aca="false">W70*X70</f>
        <v>24.44</v>
      </c>
    </row>
    <row r="71" customFormat="false" ht="15" hidden="false" customHeight="false" outlineLevel="0" collapsed="false">
      <c r="Q71" s="1" t="s">
        <v>307</v>
      </c>
      <c r="U71" s="55" t="s">
        <v>308</v>
      </c>
      <c r="W71" s="57" t="n">
        <v>9.73</v>
      </c>
      <c r="X71" s="28" t="n">
        <v>24.52</v>
      </c>
      <c r="Y71" s="28" t="n">
        <f aca="false">W71*X71</f>
        <v>238.5796</v>
      </c>
    </row>
    <row r="72" customFormat="false" ht="15" hidden="false" customHeight="false" outlineLevel="0" collapsed="false">
      <c r="Q72" s="1" t="s">
        <v>656</v>
      </c>
      <c r="U72" s="55" t="s">
        <v>204</v>
      </c>
      <c r="W72" s="57" t="n">
        <v>0.186</v>
      </c>
      <c r="X72" s="1" t="n">
        <v>6.14</v>
      </c>
      <c r="Y72" s="28" t="n">
        <f aca="false">W72*X72</f>
        <v>1.14204</v>
      </c>
    </row>
    <row r="73" customFormat="false" ht="15" hidden="false" customHeight="false" outlineLevel="0" collapsed="false">
      <c r="Q73" s="1" t="s">
        <v>666</v>
      </c>
      <c r="U73" s="55" t="s">
        <v>440</v>
      </c>
      <c r="W73" s="57" t="n">
        <v>0.2</v>
      </c>
      <c r="X73" s="1" t="n">
        <v>13.93</v>
      </c>
      <c r="Y73" s="28" t="n">
        <f aca="false">W73*X73</f>
        <v>2.786</v>
      </c>
    </row>
    <row r="74" customFormat="false" ht="15" hidden="false" customHeight="false" outlineLevel="0" collapsed="false">
      <c r="U74" s="55"/>
      <c r="W74" s="57"/>
      <c r="X74" s="28"/>
      <c r="Y74" s="86" t="n">
        <f aca="false">SUM(Y69:Y73)</f>
        <v>296.14004</v>
      </c>
    </row>
    <row r="75" customFormat="false" ht="15" hidden="false" customHeight="false" outlineLevel="0" collapsed="false">
      <c r="Q75" s="87" t="s">
        <v>310</v>
      </c>
    </row>
    <row r="76" customFormat="false" ht="15" hidden="false" customHeight="false" outlineLevel="0" collapsed="false">
      <c r="Q76" s="1" t="s">
        <v>311</v>
      </c>
      <c r="U76" s="55" t="s">
        <v>312</v>
      </c>
      <c r="W76" s="57" t="n">
        <v>3</v>
      </c>
      <c r="X76" s="28" t="n">
        <f aca="false">Y67</f>
        <v>76.2327272727273</v>
      </c>
      <c r="Y76" s="28" t="n">
        <f aca="false">W76%*X76</f>
        <v>2.28698181818182</v>
      </c>
    </row>
    <row r="77" customFormat="false" ht="15" hidden="false" customHeight="false" outlineLevel="0" collapsed="false">
      <c r="Q77" s="1" t="s">
        <v>668</v>
      </c>
      <c r="U77" s="55" t="s">
        <v>338</v>
      </c>
      <c r="V77" s="56" t="n">
        <v>1</v>
      </c>
      <c r="W77" s="57" t="n">
        <f aca="false">V77*8/$S$61</f>
        <v>0.363636363636364</v>
      </c>
      <c r="X77" s="28" t="n">
        <v>25.63</v>
      </c>
      <c r="Y77" s="28" t="n">
        <f aca="false">W77*X77</f>
        <v>9.32</v>
      </c>
    </row>
    <row r="78" customFormat="false" ht="15" hidden="false" customHeight="false" outlineLevel="0" collapsed="false">
      <c r="Q78" s="1" t="s">
        <v>691</v>
      </c>
      <c r="U78" s="55" t="s">
        <v>338</v>
      </c>
      <c r="V78" s="56" t="n">
        <v>1</v>
      </c>
      <c r="W78" s="57" t="n">
        <f aca="false">V78*8/$S$61</f>
        <v>0.363636363636364</v>
      </c>
      <c r="X78" s="46" t="n">
        <v>20</v>
      </c>
      <c r="Y78" s="28" t="n">
        <f aca="false">W78*X78</f>
        <v>7.27272727272727</v>
      </c>
    </row>
    <row r="79" customFormat="false" ht="15" hidden="false" customHeight="false" outlineLevel="0" collapsed="false">
      <c r="Q79" s="1" t="s">
        <v>676</v>
      </c>
      <c r="U79" s="55" t="s">
        <v>338</v>
      </c>
      <c r="V79" s="56" t="n">
        <v>0.5</v>
      </c>
      <c r="W79" s="57" t="n">
        <f aca="false">V79*8/$S$61</f>
        <v>0.181818181818182</v>
      </c>
      <c r="X79" s="1" t="n">
        <v>7.07</v>
      </c>
      <c r="Y79" s="28" t="n">
        <f aca="false">W79*X79</f>
        <v>1.28545454545455</v>
      </c>
    </row>
    <row r="80" customFormat="false" ht="15" hidden="false" customHeight="false" outlineLevel="0" collapsed="false">
      <c r="P80" s="60"/>
      <c r="Q80" s="60"/>
      <c r="R80" s="60"/>
      <c r="S80" s="60"/>
      <c r="T80" s="60"/>
      <c r="U80" s="60"/>
      <c r="V80" s="60"/>
      <c r="W80" s="60"/>
      <c r="X80" s="60"/>
      <c r="Y80" s="89" t="n">
        <f aca="false">SUM(Y76:Y79)</f>
        <v>20.1651636363636</v>
      </c>
    </row>
    <row r="82" customFormat="false" ht="15" hidden="false" customHeight="false" outlineLevel="0" collapsed="false">
      <c r="P82" s="82" t="s">
        <v>278</v>
      </c>
      <c r="Q82" s="82"/>
      <c r="R82" s="82" t="s">
        <v>545</v>
      </c>
      <c r="S82" s="82"/>
    </row>
    <row r="83" customFormat="false" ht="15" hidden="false" customHeight="false" outlineLevel="0" collapsed="false">
      <c r="P83" s="82" t="s">
        <v>279</v>
      </c>
      <c r="Q83" s="82" t="s">
        <v>280</v>
      </c>
      <c r="R83" s="84" t="s">
        <v>281</v>
      </c>
      <c r="S83" s="85" t="n">
        <v>35</v>
      </c>
      <c r="T83" s="84" t="s">
        <v>282</v>
      </c>
      <c r="U83" s="85" t="n">
        <f aca="false">S83</f>
        <v>35</v>
      </c>
      <c r="V83" s="82" t="s">
        <v>283</v>
      </c>
      <c r="X83" s="84" t="s">
        <v>134</v>
      </c>
      <c r="Y83" s="86" t="n">
        <f aca="false">Y88+Y93+Y96</f>
        <v>50.7905142857143</v>
      </c>
    </row>
    <row r="84" customFormat="false" ht="15" hidden="false" customHeight="false" outlineLevel="0" collapsed="false">
      <c r="P84" s="82" t="s">
        <v>284</v>
      </c>
      <c r="Q84" s="82" t="s">
        <v>285</v>
      </c>
      <c r="U84" s="84" t="s">
        <v>123</v>
      </c>
      <c r="V84" s="84" t="s">
        <v>286</v>
      </c>
      <c r="W84" s="84" t="s">
        <v>287</v>
      </c>
      <c r="X84" s="84" t="s">
        <v>288</v>
      </c>
      <c r="Y84" s="84" t="s">
        <v>289</v>
      </c>
    </row>
    <row r="85" customFormat="false" ht="15" hidden="false" customHeight="false" outlineLevel="0" collapsed="false">
      <c r="Q85" s="87" t="s">
        <v>290</v>
      </c>
    </row>
    <row r="86" customFormat="false" ht="15" hidden="false" customHeight="false" outlineLevel="0" collapsed="false">
      <c r="Q86" s="1" t="s">
        <v>291</v>
      </c>
      <c r="U86" s="55" t="s">
        <v>292</v>
      </c>
      <c r="V86" s="56" t="n">
        <v>2</v>
      </c>
      <c r="W86" s="57" t="n">
        <f aca="false">V86*8/$S$83</f>
        <v>0.457142857142857</v>
      </c>
      <c r="X86" s="28" t="n">
        <v>28.94</v>
      </c>
      <c r="Y86" s="28" t="n">
        <f aca="false">W86*X86</f>
        <v>13.2297142857143</v>
      </c>
    </row>
    <row r="87" customFormat="false" ht="15" hidden="false" customHeight="false" outlineLevel="0" collapsed="false">
      <c r="Q87" s="1" t="s">
        <v>294</v>
      </c>
      <c r="U87" s="55" t="s">
        <v>292</v>
      </c>
      <c r="V87" s="56" t="n">
        <v>2</v>
      </c>
      <c r="W87" s="57" t="n">
        <f aca="false">V87*8/$S$83</f>
        <v>0.457142857142857</v>
      </c>
      <c r="X87" s="28" t="n">
        <v>21.36</v>
      </c>
      <c r="Y87" s="28" t="n">
        <f aca="false">W87*X87</f>
        <v>9.76457142857143</v>
      </c>
    </row>
    <row r="88" customFormat="false" ht="15" hidden="false" customHeight="false" outlineLevel="0" collapsed="false">
      <c r="U88" s="55"/>
      <c r="V88" s="56"/>
      <c r="W88" s="57"/>
      <c r="X88" s="28"/>
      <c r="Y88" s="86" t="n">
        <f aca="false">SUM(Y86:Y87)</f>
        <v>22.9942857142857</v>
      </c>
    </row>
    <row r="89" customFormat="false" ht="15" hidden="false" customHeight="false" outlineLevel="0" collapsed="false">
      <c r="Q89" s="87" t="s">
        <v>654</v>
      </c>
      <c r="U89" s="55"/>
      <c r="V89" s="56"/>
      <c r="W89" s="57"/>
      <c r="Y89" s="28"/>
    </row>
    <row r="90" customFormat="false" ht="15" hidden="false" customHeight="false" outlineLevel="0" collapsed="false">
      <c r="Q90" s="1" t="s">
        <v>689</v>
      </c>
      <c r="U90" s="55" t="s">
        <v>297</v>
      </c>
      <c r="W90" s="57" t="n">
        <v>0.1</v>
      </c>
      <c r="X90" s="28" t="n">
        <v>2.64</v>
      </c>
      <c r="Y90" s="28" t="n">
        <f aca="false">W90*X90</f>
        <v>0.264</v>
      </c>
    </row>
    <row r="91" customFormat="false" ht="15" hidden="false" customHeight="false" outlineLevel="0" collapsed="false">
      <c r="Q91" s="1" t="s">
        <v>302</v>
      </c>
      <c r="U91" s="55" t="s">
        <v>297</v>
      </c>
      <c r="W91" s="57" t="n">
        <v>0.24</v>
      </c>
      <c r="X91" s="28" t="n">
        <v>5.51</v>
      </c>
      <c r="Y91" s="28" t="n">
        <f aca="false">W91*X91</f>
        <v>1.3224</v>
      </c>
    </row>
    <row r="92" customFormat="false" ht="15" hidden="false" customHeight="false" outlineLevel="0" collapsed="false">
      <c r="Q92" s="1" t="s">
        <v>670</v>
      </c>
      <c r="U92" s="55" t="s">
        <v>306</v>
      </c>
      <c r="W92" s="57" t="n">
        <v>4.4</v>
      </c>
      <c r="X92" s="28" t="n">
        <v>5.8</v>
      </c>
      <c r="Y92" s="28" t="n">
        <f aca="false">W92*X92</f>
        <v>25.52</v>
      </c>
    </row>
    <row r="93" customFormat="false" ht="15" hidden="false" customHeight="false" outlineLevel="0" collapsed="false">
      <c r="U93" s="55"/>
      <c r="W93" s="57"/>
      <c r="X93" s="28"/>
      <c r="Y93" s="86" t="n">
        <f aca="false">SUM(Y90:Y92)</f>
        <v>27.1064</v>
      </c>
    </row>
    <row r="94" customFormat="false" ht="15" hidden="false" customHeight="false" outlineLevel="0" collapsed="false">
      <c r="Q94" s="87" t="s">
        <v>310</v>
      </c>
    </row>
    <row r="95" customFormat="false" ht="15" hidden="false" customHeight="false" outlineLevel="0" collapsed="false">
      <c r="Q95" s="1" t="s">
        <v>311</v>
      </c>
      <c r="U95" s="55" t="s">
        <v>312</v>
      </c>
      <c r="W95" s="57" t="n">
        <v>3</v>
      </c>
      <c r="X95" s="28" t="n">
        <f aca="false">Y88</f>
        <v>22.9942857142857</v>
      </c>
      <c r="Y95" s="28" t="n">
        <f aca="false">W95%*X95</f>
        <v>0.689828571428571</v>
      </c>
    </row>
    <row r="96" customFormat="false" ht="15" hidden="false" customHeight="false" outlineLevel="0" collapsed="false">
      <c r="P96" s="60"/>
      <c r="Q96" s="60"/>
      <c r="R96" s="60"/>
      <c r="S96" s="60"/>
      <c r="T96" s="60"/>
      <c r="U96" s="60"/>
      <c r="V96" s="60"/>
      <c r="W96" s="60"/>
      <c r="X96" s="60"/>
      <c r="Y96" s="89" t="n">
        <f aca="false">SUM(Y95)</f>
        <v>0.689828571428571</v>
      </c>
    </row>
    <row r="98" customFormat="false" ht="15" hidden="false" customHeight="false" outlineLevel="0" collapsed="false">
      <c r="P98" s="82" t="s">
        <v>278</v>
      </c>
      <c r="Q98" s="82"/>
      <c r="R98" s="82" t="s">
        <v>692</v>
      </c>
      <c r="S98" s="82"/>
    </row>
    <row r="99" customFormat="false" ht="15" hidden="false" customHeight="false" outlineLevel="0" collapsed="false">
      <c r="P99" s="82" t="s">
        <v>279</v>
      </c>
      <c r="Q99" s="82" t="s">
        <v>679</v>
      </c>
      <c r="R99" s="84" t="s">
        <v>281</v>
      </c>
      <c r="S99" s="85" t="n">
        <v>250</v>
      </c>
      <c r="T99" s="84" t="s">
        <v>282</v>
      </c>
      <c r="U99" s="85" t="n">
        <f aca="false">S99</f>
        <v>250</v>
      </c>
      <c r="V99" s="82" t="s">
        <v>283</v>
      </c>
      <c r="X99" s="84" t="s">
        <v>297</v>
      </c>
      <c r="Y99" s="86" t="n">
        <f aca="false">Y104+Y108+Y112</f>
        <v>5.5639628445</v>
      </c>
    </row>
    <row r="100" customFormat="false" ht="15" hidden="false" customHeight="false" outlineLevel="0" collapsed="false">
      <c r="P100" s="82" t="s">
        <v>284</v>
      </c>
      <c r="Q100" s="82" t="s">
        <v>285</v>
      </c>
      <c r="U100" s="84" t="s">
        <v>123</v>
      </c>
      <c r="V100" s="84" t="s">
        <v>286</v>
      </c>
      <c r="W100" s="84" t="s">
        <v>287</v>
      </c>
      <c r="X100" s="84" t="s">
        <v>288</v>
      </c>
      <c r="Y100" s="84" t="s">
        <v>289</v>
      </c>
    </row>
    <row r="101" customFormat="false" ht="15" hidden="false" customHeight="false" outlineLevel="0" collapsed="false">
      <c r="Q101" s="87" t="s">
        <v>290</v>
      </c>
      <c r="AE101" s="55"/>
      <c r="AG101" s="57"/>
      <c r="AH101" s="28"/>
    </row>
    <row r="102" customFormat="false" ht="15" hidden="false" customHeight="false" outlineLevel="0" collapsed="false">
      <c r="Q102" s="1" t="s">
        <v>291</v>
      </c>
      <c r="U102" s="55" t="s">
        <v>292</v>
      </c>
      <c r="V102" s="56" t="n">
        <v>1</v>
      </c>
      <c r="W102" s="99" t="n">
        <f aca="false">V102*8/$S$99</f>
        <v>0.032</v>
      </c>
      <c r="X102" s="28" t="n">
        <v>28.94</v>
      </c>
      <c r="Y102" s="28" t="n">
        <f aca="false">W102*X102</f>
        <v>0.92608</v>
      </c>
      <c r="AE102" s="55"/>
      <c r="AG102" s="57"/>
      <c r="AH102" s="28"/>
    </row>
    <row r="103" customFormat="false" ht="15" hidden="false" customHeight="false" outlineLevel="0" collapsed="false">
      <c r="Q103" s="1" t="s">
        <v>680</v>
      </c>
      <c r="U103" s="55" t="s">
        <v>292</v>
      </c>
      <c r="V103" s="56" t="n">
        <v>1</v>
      </c>
      <c r="W103" s="99" t="n">
        <f aca="false">V103*8/$S$99</f>
        <v>0.032</v>
      </c>
      <c r="X103" s="28" t="n">
        <v>23.6</v>
      </c>
      <c r="Y103" s="28" t="n">
        <f aca="false">W103*X103</f>
        <v>0.7552</v>
      </c>
      <c r="AE103" s="55"/>
      <c r="AG103" s="57"/>
      <c r="AH103" s="28"/>
    </row>
    <row r="104" customFormat="false" ht="15" hidden="false" customHeight="false" outlineLevel="0" collapsed="false">
      <c r="U104" s="55"/>
      <c r="V104" s="56"/>
      <c r="Y104" s="124" t="n">
        <f aca="false">SUM(Y102:Y103)</f>
        <v>1.68128</v>
      </c>
      <c r="AE104" s="55"/>
      <c r="AG104" s="57"/>
    </row>
    <row r="105" customFormat="false" ht="15" hidden="false" customHeight="false" outlineLevel="0" collapsed="false">
      <c r="Q105" s="125" t="s">
        <v>295</v>
      </c>
      <c r="U105" s="55"/>
      <c r="V105" s="56"/>
      <c r="W105" s="99"/>
      <c r="AE105" s="55"/>
      <c r="AG105" s="57"/>
    </row>
    <row r="106" customFormat="false" ht="15" hidden="false" customHeight="false" outlineLevel="0" collapsed="false">
      <c r="Q106" s="1" t="s">
        <v>296</v>
      </c>
      <c r="U106" s="55" t="s">
        <v>297</v>
      </c>
      <c r="V106" s="56"/>
      <c r="W106" s="99" t="n">
        <v>0.03</v>
      </c>
      <c r="X106" s="28" t="n">
        <v>2.64</v>
      </c>
      <c r="Y106" s="28" t="n">
        <f aca="false">W106*X106</f>
        <v>0.0792</v>
      </c>
      <c r="AE106" s="55"/>
      <c r="AG106" s="57"/>
    </row>
    <row r="107" customFormat="false" ht="15" hidden="false" customHeight="false" outlineLevel="0" collapsed="false">
      <c r="Q107" s="1" t="s">
        <v>681</v>
      </c>
      <c r="U107" s="55" t="s">
        <v>297</v>
      </c>
      <c r="V107" s="56"/>
      <c r="W107" s="99" t="n">
        <v>1.05</v>
      </c>
      <c r="X107" s="28" t="n">
        <f aca="false">1012.71*3.379/1000</f>
        <v>3.42194709</v>
      </c>
      <c r="Y107" s="28" t="n">
        <f aca="false">W107*X107</f>
        <v>3.5930444445</v>
      </c>
    </row>
    <row r="108" customFormat="false" ht="15" hidden="false" customHeight="false" outlineLevel="0" collapsed="false">
      <c r="U108" s="55"/>
      <c r="V108" s="56"/>
      <c r="Y108" s="124" t="n">
        <f aca="false">SUM(Y106:Y107)</f>
        <v>3.6722444445</v>
      </c>
    </row>
    <row r="109" customFormat="false" ht="15" hidden="false" customHeight="false" outlineLevel="0" collapsed="false">
      <c r="Q109" s="125" t="s">
        <v>318</v>
      </c>
      <c r="U109" s="55"/>
      <c r="V109" s="56"/>
    </row>
    <row r="110" customFormat="false" ht="15" hidden="false" customHeight="false" outlineLevel="0" collapsed="false">
      <c r="Q110" s="1" t="s">
        <v>311</v>
      </c>
      <c r="U110" s="55" t="s">
        <v>312</v>
      </c>
      <c r="W110" s="57" t="n">
        <v>3</v>
      </c>
      <c r="X110" s="28" t="n">
        <f aca="false">Y104</f>
        <v>1.68128</v>
      </c>
      <c r="Y110" s="28" t="n">
        <f aca="false">W110%*X110</f>
        <v>0.0504384</v>
      </c>
    </row>
    <row r="111" customFormat="false" ht="15" hidden="false" customHeight="false" outlineLevel="0" collapsed="false">
      <c r="Q111" s="1" t="s">
        <v>682</v>
      </c>
      <c r="U111" s="55" t="s">
        <v>292</v>
      </c>
      <c r="V111" s="56" t="n">
        <v>1</v>
      </c>
      <c r="W111" s="99" t="n">
        <f aca="false">V111*8/$S$99</f>
        <v>0.032</v>
      </c>
      <c r="X111" s="46" t="n">
        <v>5</v>
      </c>
      <c r="Y111" s="28" t="n">
        <f aca="false">W111*X111</f>
        <v>0.16</v>
      </c>
    </row>
    <row r="112" customFormat="false" ht="15" hidden="false" customHeight="false" outlineLevel="0" collapsed="false">
      <c r="P112" s="60"/>
      <c r="Q112" s="60"/>
      <c r="R112" s="60"/>
      <c r="S112" s="60"/>
      <c r="T112" s="60"/>
      <c r="U112" s="60"/>
      <c r="V112" s="60"/>
      <c r="W112" s="60"/>
      <c r="X112" s="60"/>
      <c r="Y112" s="126" t="n">
        <f aca="false">SUM(Y110:Y111)</f>
        <v>0.2104384</v>
      </c>
    </row>
    <row r="114" customFormat="false" ht="15" hidden="false" customHeight="false" outlineLevel="0" collapsed="false">
      <c r="P114" s="14" t="s">
        <v>278</v>
      </c>
      <c r="Q114" s="14"/>
      <c r="R114" s="212" t="s">
        <v>695</v>
      </c>
      <c r="S114" s="14"/>
    </row>
    <row r="115" customFormat="false" ht="15" hidden="false" customHeight="false" outlineLevel="0" collapsed="false">
      <c r="P115" s="14" t="s">
        <v>279</v>
      </c>
      <c r="Q115" s="14" t="s">
        <v>417</v>
      </c>
      <c r="R115" s="36" t="s">
        <v>281</v>
      </c>
      <c r="S115" s="52" t="n">
        <v>25</v>
      </c>
      <c r="T115" s="36" t="s">
        <v>282</v>
      </c>
      <c r="U115" s="52" t="n">
        <f aca="false">S115</f>
        <v>25</v>
      </c>
      <c r="V115" s="14" t="s">
        <v>283</v>
      </c>
      <c r="X115" s="36" t="s">
        <v>204</v>
      </c>
      <c r="Y115" s="53" t="n">
        <f aca="false">Y123+Y132+Y137</f>
        <v>396.881736</v>
      </c>
    </row>
    <row r="116" customFormat="false" ht="15" hidden="false" customHeight="false" outlineLevel="0" collapsed="false">
      <c r="P116" s="14" t="s">
        <v>284</v>
      </c>
      <c r="Q116" s="14" t="s">
        <v>285</v>
      </c>
      <c r="U116" s="36" t="s">
        <v>123</v>
      </c>
      <c r="V116" s="36" t="s">
        <v>286</v>
      </c>
      <c r="W116" s="36" t="s">
        <v>287</v>
      </c>
      <c r="X116" s="36" t="s">
        <v>288</v>
      </c>
      <c r="Y116" s="36" t="s">
        <v>289</v>
      </c>
    </row>
    <row r="117" customFormat="false" ht="15" hidden="false" customHeight="false" outlineLevel="0" collapsed="false">
      <c r="Q117" s="54" t="s">
        <v>290</v>
      </c>
    </row>
    <row r="118" customFormat="false" ht="15" hidden="false" customHeight="false" outlineLevel="0" collapsed="false">
      <c r="Q118" s="1" t="s">
        <v>651</v>
      </c>
      <c r="U118" s="55" t="s">
        <v>292</v>
      </c>
      <c r="V118" s="56" t="n">
        <v>0.2</v>
      </c>
      <c r="W118" s="57" t="n">
        <f aca="false">V118*8/$S$115</f>
        <v>0.064</v>
      </c>
      <c r="X118" s="213" t="n">
        <v>34.73</v>
      </c>
      <c r="Y118" s="28" t="n">
        <f aca="false">W118*X118</f>
        <v>2.22272</v>
      </c>
    </row>
    <row r="119" customFormat="false" ht="15" hidden="false" customHeight="false" outlineLevel="0" collapsed="false">
      <c r="Q119" s="1" t="s">
        <v>291</v>
      </c>
      <c r="U119" s="55" t="s">
        <v>292</v>
      </c>
      <c r="V119" s="56" t="n">
        <v>2</v>
      </c>
      <c r="W119" s="57" t="n">
        <f aca="false">V119*8/$S$115</f>
        <v>0.64</v>
      </c>
      <c r="X119" s="213" t="n">
        <v>28.94</v>
      </c>
      <c r="Y119" s="28" t="n">
        <f aca="false">W119*X119</f>
        <v>18.5216</v>
      </c>
    </row>
    <row r="120" customFormat="false" ht="15" hidden="false" customHeight="false" outlineLevel="0" collapsed="false">
      <c r="Q120" s="1" t="s">
        <v>680</v>
      </c>
      <c r="U120" s="55" t="s">
        <v>292</v>
      </c>
      <c r="V120" s="56" t="n">
        <v>1</v>
      </c>
      <c r="W120" s="57" t="n">
        <f aca="false">V120*8/$S$115</f>
        <v>0.32</v>
      </c>
      <c r="X120" s="1" t="n">
        <v>23.6</v>
      </c>
      <c r="Y120" s="28" t="n">
        <f aca="false">W120*X120</f>
        <v>7.552</v>
      </c>
    </row>
    <row r="121" customFormat="false" ht="15" hidden="false" customHeight="false" outlineLevel="0" collapsed="false">
      <c r="Q121" s="1" t="s">
        <v>294</v>
      </c>
      <c r="U121" s="55" t="s">
        <v>292</v>
      </c>
      <c r="V121" s="56" t="n">
        <v>7</v>
      </c>
      <c r="W121" s="57" t="n">
        <f aca="false">V121*8/$S$115</f>
        <v>2.24</v>
      </c>
      <c r="X121" s="1" t="n">
        <v>21.36</v>
      </c>
      <c r="Y121" s="28" t="n">
        <f aca="false">W121*X121</f>
        <v>47.8464</v>
      </c>
    </row>
    <row r="122" customFormat="false" ht="15" hidden="false" customHeight="false" outlineLevel="0" collapsed="false">
      <c r="Q122" s="1" t="s">
        <v>664</v>
      </c>
      <c r="U122" s="55" t="s">
        <v>292</v>
      </c>
      <c r="V122" s="56" t="n">
        <v>1</v>
      </c>
      <c r="W122" s="57" t="n">
        <f aca="false">V122*8/$S$115</f>
        <v>0.32</v>
      </c>
      <c r="X122" s="1" t="n">
        <v>29.94</v>
      </c>
      <c r="Y122" s="28" t="n">
        <f aca="false">W122*X122</f>
        <v>9.5808</v>
      </c>
    </row>
    <row r="123" customFormat="false" ht="15" hidden="false" customHeight="false" outlineLevel="0" collapsed="false">
      <c r="U123" s="55"/>
      <c r="Y123" s="53" t="n">
        <f aca="false">SUM(Y118:Y122)</f>
        <v>85.72352</v>
      </c>
    </row>
    <row r="124" customFormat="false" ht="15" hidden="false" customHeight="false" outlineLevel="0" collapsed="false">
      <c r="Q124" s="54" t="s">
        <v>654</v>
      </c>
    </row>
    <row r="125" customFormat="false" ht="15" hidden="false" customHeight="false" outlineLevel="0" collapsed="false">
      <c r="Q125" s="1" t="s">
        <v>696</v>
      </c>
      <c r="U125" s="55" t="s">
        <v>440</v>
      </c>
      <c r="W125" s="57" t="n">
        <v>0.01</v>
      </c>
      <c r="X125" s="28" t="n">
        <v>38.22</v>
      </c>
      <c r="Y125" s="28" t="n">
        <f aca="false">W125*X125</f>
        <v>0.3822</v>
      </c>
    </row>
    <row r="126" customFormat="false" ht="15" hidden="false" customHeight="false" outlineLevel="0" collapsed="false">
      <c r="Q126" s="1" t="s">
        <v>697</v>
      </c>
      <c r="U126" s="55" t="s">
        <v>698</v>
      </c>
      <c r="W126" s="57" t="n">
        <v>0.008</v>
      </c>
      <c r="X126" s="28" t="n">
        <v>12.63</v>
      </c>
      <c r="Y126" s="28" t="n">
        <f aca="false">W126*X126</f>
        <v>0.10104</v>
      </c>
    </row>
    <row r="127" customFormat="false" ht="15" hidden="false" customHeight="false" outlineLevel="0" collapsed="false">
      <c r="Q127" s="1" t="s">
        <v>699</v>
      </c>
      <c r="U127" s="55" t="s">
        <v>440</v>
      </c>
      <c r="W127" s="57" t="n">
        <v>0.12</v>
      </c>
      <c r="X127" s="28" t="n">
        <v>13.93</v>
      </c>
      <c r="Y127" s="28" t="n">
        <f aca="false">W127*X127</f>
        <v>1.6716</v>
      </c>
    </row>
    <row r="128" customFormat="false" ht="15" hidden="false" customHeight="false" outlineLevel="0" collapsed="false">
      <c r="Q128" s="1" t="s">
        <v>700</v>
      </c>
      <c r="U128" s="55" t="s">
        <v>204</v>
      </c>
      <c r="W128" s="57" t="n">
        <v>0.8</v>
      </c>
      <c r="X128" s="28" t="n">
        <v>55.08</v>
      </c>
      <c r="Y128" s="28" t="n">
        <f aca="false">W128*X128</f>
        <v>44.064</v>
      </c>
    </row>
    <row r="129" customFormat="false" ht="15" hidden="false" customHeight="false" outlineLevel="0" collapsed="false">
      <c r="Q129" s="1" t="s">
        <v>701</v>
      </c>
      <c r="U129" s="55" t="s">
        <v>204</v>
      </c>
      <c r="W129" s="57" t="n">
        <v>0.5</v>
      </c>
      <c r="X129" s="28" t="n">
        <v>47</v>
      </c>
      <c r="Y129" s="28" t="n">
        <f aca="false">W129*X129</f>
        <v>23.5</v>
      </c>
    </row>
    <row r="130" customFormat="false" ht="15" hidden="false" customHeight="false" outlineLevel="0" collapsed="false">
      <c r="Q130" s="1" t="s">
        <v>665</v>
      </c>
      <c r="U130" s="55" t="s">
        <v>204</v>
      </c>
      <c r="W130" s="57" t="n">
        <v>0.18</v>
      </c>
      <c r="X130" s="28" t="n">
        <v>6.14</v>
      </c>
      <c r="Y130" s="28" t="n">
        <f aca="false">W130*X130</f>
        <v>1.1052</v>
      </c>
    </row>
    <row r="131" customFormat="false" ht="15" hidden="false" customHeight="false" outlineLevel="0" collapsed="false">
      <c r="Q131" s="1" t="s">
        <v>702</v>
      </c>
      <c r="U131" s="55" t="s">
        <v>308</v>
      </c>
      <c r="W131" s="57" t="n">
        <v>9.2</v>
      </c>
      <c r="X131" s="28" t="n">
        <v>24.52</v>
      </c>
      <c r="Y131" s="28" t="n">
        <f aca="false">W131*X131</f>
        <v>225.584</v>
      </c>
    </row>
    <row r="132" customFormat="false" ht="15" hidden="false" customHeight="false" outlineLevel="0" collapsed="false">
      <c r="U132" s="55"/>
      <c r="W132" s="57"/>
      <c r="X132" s="28"/>
      <c r="Y132" s="53" t="n">
        <f aca="false">SUM(Y125:Y131)</f>
        <v>296.40804</v>
      </c>
    </row>
    <row r="133" customFormat="false" ht="15" hidden="false" customHeight="false" outlineLevel="0" collapsed="false">
      <c r="Q133" s="54" t="s">
        <v>310</v>
      </c>
    </row>
    <row r="134" customFormat="false" ht="15" hidden="false" customHeight="false" outlineLevel="0" collapsed="false">
      <c r="Q134" s="1" t="s">
        <v>703</v>
      </c>
      <c r="U134" s="55" t="s">
        <v>338</v>
      </c>
      <c r="V134" s="56" t="n">
        <v>1</v>
      </c>
      <c r="W134" s="57" t="n">
        <f aca="false">V134*8/$S$115</f>
        <v>0.32</v>
      </c>
      <c r="X134" s="28" t="n">
        <v>25.63</v>
      </c>
      <c r="Y134" s="28" t="n">
        <f aca="false">W134*X134</f>
        <v>8.2016</v>
      </c>
    </row>
    <row r="135" customFormat="false" ht="15" hidden="false" customHeight="false" outlineLevel="0" collapsed="false">
      <c r="Q135" s="1" t="s">
        <v>704</v>
      </c>
      <c r="U135" s="55" t="s">
        <v>338</v>
      </c>
      <c r="V135" s="56" t="n">
        <v>1</v>
      </c>
      <c r="W135" s="57" t="n">
        <f aca="false">V135*8/$S$115</f>
        <v>0.32</v>
      </c>
      <c r="X135" s="28" t="n">
        <v>7.07</v>
      </c>
      <c r="Y135" s="28" t="n">
        <f aca="false">W135*X135</f>
        <v>2.2624</v>
      </c>
    </row>
    <row r="136" customFormat="false" ht="15" hidden="false" customHeight="false" outlineLevel="0" collapsed="false">
      <c r="Q136" s="1" t="s">
        <v>311</v>
      </c>
      <c r="U136" s="55" t="s">
        <v>312</v>
      </c>
      <c r="W136" s="57" t="n">
        <v>5</v>
      </c>
      <c r="X136" s="28" t="n">
        <f aca="false">Y123</f>
        <v>85.72352</v>
      </c>
      <c r="Y136" s="28" t="n">
        <f aca="false">W136%*X136</f>
        <v>4.286176</v>
      </c>
    </row>
    <row r="137" customFormat="false" ht="15" hidden="false" customHeight="false" outlineLevel="0" collapsed="false">
      <c r="P137" s="60"/>
      <c r="Q137" s="60"/>
      <c r="R137" s="60"/>
      <c r="S137" s="60"/>
      <c r="T137" s="60"/>
      <c r="U137" s="60"/>
      <c r="V137" s="60"/>
      <c r="W137" s="60"/>
      <c r="X137" s="80"/>
      <c r="Y137" s="61" t="n">
        <f aca="false">SUM(Y134:Y136)</f>
        <v>14.750176</v>
      </c>
    </row>
    <row r="139" customFormat="false" ht="15" hidden="false" customHeight="false" outlineLevel="0" collapsed="false">
      <c r="P139" s="14" t="s">
        <v>278</v>
      </c>
      <c r="Q139" s="14"/>
      <c r="R139" s="14" t="s">
        <v>705</v>
      </c>
      <c r="S139" s="14"/>
      <c r="AE139" s="55"/>
      <c r="AF139" s="56"/>
      <c r="AG139" s="99"/>
    </row>
    <row r="140" customFormat="false" ht="15" hidden="false" customHeight="false" outlineLevel="0" collapsed="false">
      <c r="P140" s="14" t="s">
        <v>279</v>
      </c>
      <c r="Q140" s="14" t="s">
        <v>280</v>
      </c>
      <c r="R140" s="36" t="s">
        <v>281</v>
      </c>
      <c r="S140" s="52" t="n">
        <v>35</v>
      </c>
      <c r="T140" s="36" t="s">
        <v>282</v>
      </c>
      <c r="U140" s="52" t="n">
        <f aca="false">S140</f>
        <v>35</v>
      </c>
      <c r="V140" s="14" t="s">
        <v>283</v>
      </c>
      <c r="X140" s="36" t="s">
        <v>134</v>
      </c>
      <c r="Y140" s="53" t="n">
        <f aca="false">Y146+Y151+Y154</f>
        <v>43.4766</v>
      </c>
      <c r="AB140" s="28"/>
      <c r="AE140" s="55"/>
      <c r="AF140" s="56"/>
      <c r="AG140" s="99"/>
    </row>
    <row r="141" customFormat="false" ht="15" hidden="false" customHeight="false" outlineLevel="0" collapsed="false">
      <c r="P141" s="14" t="s">
        <v>284</v>
      </c>
      <c r="Q141" s="14" t="s">
        <v>285</v>
      </c>
      <c r="U141" s="36" t="s">
        <v>123</v>
      </c>
      <c r="V141" s="36" t="s">
        <v>286</v>
      </c>
      <c r="W141" s="36" t="s">
        <v>287</v>
      </c>
      <c r="X141" s="36" t="s">
        <v>288</v>
      </c>
      <c r="Y141" s="36" t="s">
        <v>289</v>
      </c>
      <c r="AB141" s="28"/>
    </row>
    <row r="142" customFormat="false" ht="15" hidden="false" customHeight="false" outlineLevel="0" collapsed="false">
      <c r="Q142" s="54" t="s">
        <v>290</v>
      </c>
    </row>
    <row r="143" customFormat="false" ht="15" hidden="false" customHeight="false" outlineLevel="0" collapsed="false">
      <c r="Q143" s="1" t="s">
        <v>291</v>
      </c>
      <c r="U143" s="55" t="s">
        <v>292</v>
      </c>
      <c r="V143" s="56" t="n">
        <v>2</v>
      </c>
      <c r="W143" s="57" t="n">
        <f aca="false">V143*8/$S$140</f>
        <v>0.457142857142857</v>
      </c>
      <c r="X143" s="28" t="n">
        <v>28.94</v>
      </c>
      <c r="Y143" s="28" t="n">
        <f aca="false">W143*X143</f>
        <v>13.2297142857143</v>
      </c>
    </row>
    <row r="144" customFormat="false" ht="15" hidden="false" customHeight="false" outlineLevel="0" collapsed="false">
      <c r="Q144" s="1" t="s">
        <v>680</v>
      </c>
      <c r="U144" s="55" t="s">
        <v>292</v>
      </c>
      <c r="V144" s="56" t="n">
        <v>1</v>
      </c>
      <c r="W144" s="57" t="n">
        <f aca="false">V144*8/$S$140</f>
        <v>0.228571428571429</v>
      </c>
      <c r="X144" s="1" t="n">
        <v>23.6</v>
      </c>
      <c r="Y144" s="28" t="n">
        <f aca="false">W144*X144</f>
        <v>5.39428571428571</v>
      </c>
    </row>
    <row r="145" customFormat="false" ht="15" hidden="false" customHeight="false" outlineLevel="0" collapsed="false">
      <c r="Q145" s="1" t="s">
        <v>294</v>
      </c>
      <c r="U145" s="55" t="s">
        <v>292</v>
      </c>
      <c r="V145" s="56" t="n">
        <v>1</v>
      </c>
      <c r="W145" s="57" t="n">
        <f aca="false">V145*8/$S$140</f>
        <v>0.228571428571429</v>
      </c>
      <c r="X145" s="1" t="n">
        <v>21.36</v>
      </c>
      <c r="Y145" s="28" t="n">
        <f aca="false">W145*X145</f>
        <v>4.88228571428571</v>
      </c>
    </row>
    <row r="146" customFormat="false" ht="15" hidden="false" customHeight="false" outlineLevel="0" collapsed="false">
      <c r="U146" s="55"/>
      <c r="Y146" s="53" t="n">
        <f aca="false">SUM(Y143:Y145)</f>
        <v>23.5062857142857</v>
      </c>
    </row>
    <row r="147" customFormat="false" ht="15" hidden="false" customHeight="false" outlineLevel="0" collapsed="false">
      <c r="Q147" s="54" t="s">
        <v>654</v>
      </c>
    </row>
    <row r="148" customFormat="false" ht="15" hidden="false" customHeight="false" outlineLevel="0" collapsed="false">
      <c r="Q148" s="1" t="s">
        <v>689</v>
      </c>
      <c r="U148" s="55" t="s">
        <v>297</v>
      </c>
      <c r="W148" s="57" t="n">
        <v>0.1</v>
      </c>
      <c r="X148" s="28" t="n">
        <v>2.64</v>
      </c>
      <c r="Y148" s="28" t="n">
        <f aca="false">W148*X148</f>
        <v>0.264</v>
      </c>
    </row>
    <row r="149" customFormat="false" ht="15" hidden="false" customHeight="false" outlineLevel="0" collapsed="false">
      <c r="Q149" s="1" t="s">
        <v>302</v>
      </c>
      <c r="U149" s="55" t="s">
        <v>297</v>
      </c>
      <c r="W149" s="57" t="n">
        <v>0.1</v>
      </c>
      <c r="X149" s="28" t="n">
        <v>5.51</v>
      </c>
      <c r="Y149" s="28" t="n">
        <f aca="false">W149*X149</f>
        <v>0.551</v>
      </c>
    </row>
    <row r="150" customFormat="false" ht="15" hidden="false" customHeight="false" outlineLevel="0" collapsed="false">
      <c r="Q150" s="1" t="s">
        <v>670</v>
      </c>
      <c r="U150" s="55" t="s">
        <v>297</v>
      </c>
      <c r="W150" s="57" t="n">
        <v>3.1</v>
      </c>
      <c r="X150" s="28" t="n">
        <v>5.8</v>
      </c>
      <c r="Y150" s="28" t="n">
        <f aca="false">W150*X150</f>
        <v>17.98</v>
      </c>
    </row>
    <row r="151" customFormat="false" ht="15" hidden="false" customHeight="false" outlineLevel="0" collapsed="false">
      <c r="Y151" s="53" t="n">
        <f aca="false">SUM(Y148:Y150)</f>
        <v>18.795</v>
      </c>
    </row>
    <row r="152" customFormat="false" ht="15" hidden="false" customHeight="false" outlineLevel="0" collapsed="false">
      <c r="Q152" s="54" t="s">
        <v>310</v>
      </c>
    </row>
    <row r="153" customFormat="false" ht="15" hidden="false" customHeight="false" outlineLevel="0" collapsed="false">
      <c r="Q153" s="1" t="s">
        <v>311</v>
      </c>
      <c r="U153" s="55" t="s">
        <v>312</v>
      </c>
      <c r="W153" s="57" t="n">
        <v>5</v>
      </c>
      <c r="X153" s="28" t="n">
        <f aca="false">Y146</f>
        <v>23.5062857142857</v>
      </c>
      <c r="Y153" s="28" t="n">
        <f aca="false">W153%*X153</f>
        <v>1.17531428571429</v>
      </c>
    </row>
    <row r="154" customFormat="false" ht="15" hidden="false" customHeight="false" outlineLevel="0" collapsed="false">
      <c r="P154" s="60"/>
      <c r="Q154" s="60"/>
      <c r="R154" s="60"/>
      <c r="S154" s="60"/>
      <c r="T154" s="60"/>
      <c r="U154" s="60"/>
      <c r="V154" s="60"/>
      <c r="W154" s="60"/>
      <c r="X154" s="60"/>
      <c r="Y154" s="61" t="n">
        <f aca="false">SUM(Y153)</f>
        <v>1.17531428571429</v>
      </c>
    </row>
    <row r="156" customFormat="false" ht="15" hidden="false" customHeight="false" outlineLevel="0" collapsed="false">
      <c r="P156" s="214" t="s">
        <v>278</v>
      </c>
      <c r="Q156" s="214"/>
      <c r="R156" s="82" t="s">
        <v>563</v>
      </c>
    </row>
    <row r="157" customFormat="false" ht="15" hidden="false" customHeight="false" outlineLevel="0" collapsed="false">
      <c r="P157" s="214" t="s">
        <v>279</v>
      </c>
      <c r="Q157" s="214" t="s">
        <v>706</v>
      </c>
      <c r="R157" s="215" t="s">
        <v>281</v>
      </c>
      <c r="S157" s="216" t="n">
        <v>250</v>
      </c>
      <c r="T157" s="215" t="s">
        <v>282</v>
      </c>
      <c r="U157" s="216" t="n">
        <f aca="false">S157</f>
        <v>250</v>
      </c>
      <c r="V157" s="214" t="s">
        <v>283</v>
      </c>
      <c r="X157" s="215" t="s">
        <v>707</v>
      </c>
      <c r="Y157" s="124" t="n">
        <f aca="false">Y163+Y167+Y170</f>
        <v>5.4833634845</v>
      </c>
    </row>
    <row r="158" customFormat="false" ht="15" hidden="false" customHeight="false" outlineLevel="0" collapsed="false">
      <c r="P158" s="214" t="s">
        <v>284</v>
      </c>
      <c r="Q158" s="214" t="s">
        <v>285</v>
      </c>
      <c r="U158" s="215" t="s">
        <v>123</v>
      </c>
      <c r="V158" s="215" t="s">
        <v>286</v>
      </c>
      <c r="W158" s="215" t="s">
        <v>287</v>
      </c>
      <c r="X158" s="215" t="s">
        <v>288</v>
      </c>
      <c r="Y158" s="215" t="s">
        <v>289</v>
      </c>
    </row>
    <row r="159" customFormat="false" ht="15" hidden="false" customHeight="false" outlineLevel="0" collapsed="false">
      <c r="Q159" s="125" t="s">
        <v>290</v>
      </c>
      <c r="V159" s="56"/>
    </row>
    <row r="160" customFormat="false" ht="15" hidden="false" customHeight="false" outlineLevel="0" collapsed="false">
      <c r="Q160" s="1" t="s">
        <v>291</v>
      </c>
      <c r="U160" s="55" t="s">
        <v>292</v>
      </c>
      <c r="V160" s="56" t="n">
        <v>1</v>
      </c>
      <c r="W160" s="99" t="n">
        <f aca="false">V160*8/$S$157</f>
        <v>0.032</v>
      </c>
      <c r="X160" s="213" t="n">
        <v>29.99</v>
      </c>
      <c r="Y160" s="28" t="n">
        <f aca="false">W160*X160</f>
        <v>0.95968</v>
      </c>
    </row>
    <row r="161" customFormat="false" ht="15" hidden="false" customHeight="false" outlineLevel="0" collapsed="false">
      <c r="Q161" s="1" t="s">
        <v>680</v>
      </c>
      <c r="U161" s="55" t="s">
        <v>292</v>
      </c>
      <c r="V161" s="56" t="n">
        <v>1</v>
      </c>
      <c r="W161" s="99" t="n">
        <f aca="false">V161*8/$S$157</f>
        <v>0.032</v>
      </c>
      <c r="X161" s="1" t="n">
        <v>21.36</v>
      </c>
      <c r="Y161" s="28" t="n">
        <f aca="false">W161*X161</f>
        <v>0.68352</v>
      </c>
    </row>
    <row r="162" customFormat="false" ht="15" hidden="false" customHeight="false" outlineLevel="0" collapsed="false">
      <c r="Q162" s="1" t="s">
        <v>651</v>
      </c>
      <c r="U162" s="55" t="s">
        <v>292</v>
      </c>
      <c r="V162" s="56" t="n">
        <v>0.1</v>
      </c>
      <c r="W162" s="99" t="n">
        <f aca="false">V162*8/$S$157</f>
        <v>0.0032</v>
      </c>
      <c r="X162" s="213" t="n">
        <v>35.99</v>
      </c>
      <c r="Y162" s="28" t="n">
        <f aca="false">W162*X162</f>
        <v>0.115168</v>
      </c>
    </row>
    <row r="163" customFormat="false" ht="15" hidden="false" customHeight="false" outlineLevel="0" collapsed="false">
      <c r="U163" s="55"/>
      <c r="V163" s="56"/>
      <c r="Y163" s="124" t="n">
        <f aca="false">SUM(Y160:Y162)</f>
        <v>1.758368</v>
      </c>
    </row>
    <row r="164" customFormat="false" ht="15" hidden="false" customHeight="false" outlineLevel="0" collapsed="false">
      <c r="Q164" s="125" t="s">
        <v>295</v>
      </c>
      <c r="U164" s="55"/>
      <c r="V164" s="56"/>
      <c r="W164" s="99"/>
    </row>
    <row r="165" customFormat="false" ht="15" hidden="false" customHeight="false" outlineLevel="0" collapsed="false">
      <c r="Q165" s="1" t="s">
        <v>296</v>
      </c>
      <c r="U165" s="55" t="s">
        <v>297</v>
      </c>
      <c r="V165" s="56"/>
      <c r="W165" s="99" t="n">
        <v>0.03</v>
      </c>
      <c r="X165" s="28" t="n">
        <v>2.64</v>
      </c>
      <c r="Y165" s="28" t="n">
        <f aca="false">W165*X165</f>
        <v>0.0792</v>
      </c>
    </row>
    <row r="166" customFormat="false" ht="15" hidden="false" customHeight="false" outlineLevel="0" collapsed="false">
      <c r="Q166" s="1" t="s">
        <v>681</v>
      </c>
      <c r="U166" s="55" t="s">
        <v>297</v>
      </c>
      <c r="V166" s="56"/>
      <c r="W166" s="99" t="n">
        <v>1.05</v>
      </c>
      <c r="X166" s="28" t="n">
        <f aca="false">1012.71*3.379/1000</f>
        <v>3.42194709</v>
      </c>
      <c r="Y166" s="28" t="n">
        <f aca="false">W166*X166</f>
        <v>3.5930444445</v>
      </c>
    </row>
    <row r="167" customFormat="false" ht="15" hidden="false" customHeight="false" outlineLevel="0" collapsed="false">
      <c r="U167" s="55"/>
      <c r="V167" s="56"/>
      <c r="Y167" s="124" t="n">
        <f aca="false">SUM(Y165:Y166)</f>
        <v>3.6722444445</v>
      </c>
    </row>
    <row r="168" customFormat="false" ht="15" hidden="false" customHeight="false" outlineLevel="0" collapsed="false">
      <c r="Q168" s="125" t="s">
        <v>318</v>
      </c>
      <c r="U168" s="55"/>
      <c r="V168" s="56"/>
    </row>
    <row r="169" customFormat="false" ht="15" hidden="false" customHeight="false" outlineLevel="0" collapsed="false">
      <c r="Q169" s="1" t="s">
        <v>311</v>
      </c>
      <c r="U169" s="55" t="s">
        <v>312</v>
      </c>
      <c r="W169" s="57" t="n">
        <v>3</v>
      </c>
      <c r="X169" s="28" t="n">
        <f aca="false">Y163</f>
        <v>1.758368</v>
      </c>
      <c r="Y169" s="28" t="n">
        <f aca="false">W169%*X169</f>
        <v>0.05275104</v>
      </c>
    </row>
    <row r="170" customFormat="false" ht="15" hidden="false" customHeight="false" outlineLevel="0" collapsed="false">
      <c r="P170" s="60"/>
      <c r="Q170" s="60"/>
      <c r="R170" s="60"/>
      <c r="S170" s="60"/>
      <c r="T170" s="60"/>
      <c r="U170" s="60"/>
      <c r="V170" s="60"/>
      <c r="W170" s="60"/>
      <c r="X170" s="60"/>
      <c r="Y170" s="126" t="n">
        <f aca="false">SUM(Y169:Y169)</f>
        <v>0.05275104</v>
      </c>
    </row>
    <row r="172" customFormat="false" ht="15" hidden="false" customHeight="false" outlineLevel="0" collapsed="false">
      <c r="P172" s="214" t="s">
        <v>278</v>
      </c>
      <c r="Q172" s="214"/>
      <c r="R172" s="82" t="s">
        <v>565</v>
      </c>
    </row>
    <row r="173" customFormat="false" ht="15" hidden="false" customHeight="false" outlineLevel="0" collapsed="false">
      <c r="P173" s="214" t="s">
        <v>279</v>
      </c>
      <c r="Q173" s="214" t="s">
        <v>708</v>
      </c>
      <c r="R173" s="215" t="s">
        <v>281</v>
      </c>
      <c r="S173" s="216" t="n">
        <v>1600</v>
      </c>
      <c r="T173" s="215" t="s">
        <v>282</v>
      </c>
      <c r="U173" s="216" t="n">
        <f aca="false">S173</f>
        <v>1600</v>
      </c>
      <c r="V173" s="214" t="s">
        <v>283</v>
      </c>
      <c r="X173" s="215" t="s">
        <v>150</v>
      </c>
      <c r="Y173" s="124" t="n">
        <f aca="false">Y179+Y183+Y186</f>
        <v>2.715605</v>
      </c>
    </row>
    <row r="174" customFormat="false" ht="15" hidden="false" customHeight="false" outlineLevel="0" collapsed="false">
      <c r="P174" s="214" t="s">
        <v>284</v>
      </c>
      <c r="Q174" s="214" t="s">
        <v>285</v>
      </c>
      <c r="U174" s="215" t="s">
        <v>123</v>
      </c>
      <c r="V174" s="215" t="s">
        <v>286</v>
      </c>
      <c r="W174" s="215" t="s">
        <v>287</v>
      </c>
      <c r="X174" s="215" t="s">
        <v>288</v>
      </c>
      <c r="Y174" s="215" t="s">
        <v>289</v>
      </c>
    </row>
    <row r="175" customFormat="false" ht="15" hidden="false" customHeight="false" outlineLevel="0" collapsed="false">
      <c r="Q175" s="125" t="s">
        <v>290</v>
      </c>
      <c r="V175" s="56"/>
    </row>
    <row r="176" customFormat="false" ht="15" hidden="false" customHeight="false" outlineLevel="0" collapsed="false">
      <c r="Q176" s="1" t="s">
        <v>291</v>
      </c>
      <c r="U176" s="55" t="s">
        <v>292</v>
      </c>
      <c r="V176" s="56" t="n">
        <v>1</v>
      </c>
      <c r="W176" s="57" t="n">
        <f aca="false">V176*8/$S$173</f>
        <v>0.005</v>
      </c>
      <c r="X176" s="1" t="n">
        <v>28.94</v>
      </c>
      <c r="Y176" s="28" t="n">
        <f aca="false">W176*X176</f>
        <v>0.1447</v>
      </c>
    </row>
    <row r="177" customFormat="false" ht="15" hidden="false" customHeight="false" outlineLevel="0" collapsed="false">
      <c r="Q177" s="1" t="s">
        <v>680</v>
      </c>
      <c r="U177" s="55" t="s">
        <v>292</v>
      </c>
      <c r="V177" s="56" t="n">
        <v>1</v>
      </c>
      <c r="W177" s="57" t="n">
        <f aca="false">V177*8/$S$173</f>
        <v>0.005</v>
      </c>
      <c r="X177" s="1" t="n">
        <v>23.6</v>
      </c>
      <c r="Y177" s="28" t="n">
        <f aca="false">W177*X177</f>
        <v>0.118</v>
      </c>
    </row>
    <row r="178" customFormat="false" ht="15" hidden="false" customHeight="false" outlineLevel="0" collapsed="false">
      <c r="Q178" s="1" t="s">
        <v>294</v>
      </c>
      <c r="U178" s="55" t="s">
        <v>292</v>
      </c>
      <c r="V178" s="56" t="n">
        <v>6</v>
      </c>
      <c r="W178" s="57" t="n">
        <f aca="false">V178*8/$S$173</f>
        <v>0.03</v>
      </c>
      <c r="X178" s="1" t="n">
        <v>21.36</v>
      </c>
      <c r="Y178" s="28" t="n">
        <f aca="false">W178*X178</f>
        <v>0.6408</v>
      </c>
    </row>
    <row r="179" customFormat="false" ht="15" hidden="false" customHeight="false" outlineLevel="0" collapsed="false">
      <c r="U179" s="55"/>
      <c r="V179" s="56"/>
      <c r="Y179" s="124" t="n">
        <f aca="false">SUM(Y176:Y178)</f>
        <v>0.9035</v>
      </c>
    </row>
    <row r="180" customFormat="false" ht="15" hidden="false" customHeight="false" outlineLevel="0" collapsed="false">
      <c r="Q180" s="125" t="s">
        <v>295</v>
      </c>
      <c r="U180" s="55"/>
      <c r="V180" s="56"/>
      <c r="W180" s="99"/>
    </row>
    <row r="181" customFormat="false" ht="15" hidden="false" customHeight="false" outlineLevel="0" collapsed="false">
      <c r="Q181" s="1" t="s">
        <v>709</v>
      </c>
      <c r="U181" s="55" t="s">
        <v>150</v>
      </c>
      <c r="V181" s="56"/>
      <c r="W181" s="99" t="n">
        <v>1.05</v>
      </c>
      <c r="X181" s="28" t="n">
        <v>1.7</v>
      </c>
      <c r="Y181" s="28" t="n">
        <f aca="false">W181*X181</f>
        <v>1.785</v>
      </c>
    </row>
    <row r="182" customFormat="false" ht="15" hidden="false" customHeight="false" outlineLevel="0" collapsed="false">
      <c r="U182" s="55"/>
      <c r="V182" s="56"/>
      <c r="W182" s="99"/>
      <c r="X182" s="28"/>
      <c r="Y182" s="28"/>
    </row>
    <row r="183" customFormat="false" ht="15" hidden="false" customHeight="false" outlineLevel="0" collapsed="false">
      <c r="U183" s="55"/>
      <c r="V183" s="56"/>
      <c r="Y183" s="124" t="n">
        <f aca="false">SUM(Y181:Y182)</f>
        <v>1.785</v>
      </c>
    </row>
    <row r="184" customFormat="false" ht="15" hidden="false" customHeight="false" outlineLevel="0" collapsed="false">
      <c r="Q184" s="125" t="s">
        <v>318</v>
      </c>
      <c r="U184" s="55"/>
      <c r="V184" s="56"/>
    </row>
    <row r="185" customFormat="false" ht="15" hidden="false" customHeight="false" outlineLevel="0" collapsed="false">
      <c r="Q185" s="1" t="s">
        <v>311</v>
      </c>
      <c r="U185" s="55" t="s">
        <v>312</v>
      </c>
      <c r="W185" s="57" t="n">
        <v>3</v>
      </c>
      <c r="X185" s="28" t="n">
        <f aca="false">Y179</f>
        <v>0.9035</v>
      </c>
      <c r="Y185" s="28" t="n">
        <f aca="false">W185%*X185</f>
        <v>0.027105</v>
      </c>
    </row>
    <row r="186" customFormat="false" ht="15" hidden="false" customHeight="false" outlineLevel="0" collapsed="false">
      <c r="P186" s="60"/>
      <c r="Q186" s="60"/>
      <c r="R186" s="60"/>
      <c r="S186" s="60"/>
      <c r="T186" s="60"/>
      <c r="U186" s="60"/>
      <c r="V186" s="60"/>
      <c r="W186" s="60"/>
      <c r="X186" s="60"/>
      <c r="Y186" s="126" t="n">
        <f aca="false">SUM(Y185:Y185)</f>
        <v>0.027105</v>
      </c>
    </row>
    <row r="188" customFormat="false" ht="15" hidden="false" customHeight="false" outlineLevel="0" collapsed="false">
      <c r="P188" s="82" t="s">
        <v>278</v>
      </c>
      <c r="Q188" s="82"/>
      <c r="R188" s="82" t="s">
        <v>578</v>
      </c>
      <c r="S188" s="82"/>
    </row>
    <row r="189" customFormat="false" ht="15" hidden="false" customHeight="false" outlineLevel="0" collapsed="false">
      <c r="P189" s="82" t="s">
        <v>279</v>
      </c>
      <c r="Q189" s="82" t="s">
        <v>417</v>
      </c>
      <c r="R189" s="84" t="s">
        <v>281</v>
      </c>
      <c r="S189" s="85" t="n">
        <v>15</v>
      </c>
      <c r="T189" s="84" t="s">
        <v>282</v>
      </c>
      <c r="U189" s="85" t="n">
        <f aca="false">S189</f>
        <v>15</v>
      </c>
      <c r="V189" s="82" t="s">
        <v>283</v>
      </c>
      <c r="X189" s="84" t="s">
        <v>204</v>
      </c>
      <c r="Y189" s="86" t="n">
        <f aca="false">Y195+Y202+Y207</f>
        <v>402.684786666667</v>
      </c>
    </row>
    <row r="190" customFormat="false" ht="15" hidden="false" customHeight="false" outlineLevel="0" collapsed="false">
      <c r="P190" s="82" t="s">
        <v>284</v>
      </c>
      <c r="Q190" s="82" t="s">
        <v>285</v>
      </c>
      <c r="U190" s="84" t="s">
        <v>123</v>
      </c>
      <c r="V190" s="84" t="s">
        <v>286</v>
      </c>
      <c r="W190" s="84" t="s">
        <v>287</v>
      </c>
      <c r="X190" s="84" t="s">
        <v>288</v>
      </c>
      <c r="Y190" s="84" t="s">
        <v>289</v>
      </c>
    </row>
    <row r="191" customFormat="false" ht="15" hidden="false" customHeight="false" outlineLevel="0" collapsed="false">
      <c r="Q191" s="87" t="s">
        <v>290</v>
      </c>
    </row>
    <row r="192" customFormat="false" ht="15" hidden="false" customHeight="false" outlineLevel="0" collapsed="false">
      <c r="Q192" s="1" t="s">
        <v>291</v>
      </c>
      <c r="U192" s="55" t="s">
        <v>292</v>
      </c>
      <c r="V192" s="56" t="n">
        <v>1</v>
      </c>
      <c r="W192" s="57" t="n">
        <f aca="false">V192*8/$S$5</f>
        <v>0.533333333333333</v>
      </c>
      <c r="X192" s="28" t="n">
        <v>28.94</v>
      </c>
      <c r="Y192" s="28" t="n">
        <f aca="false">W192*X192</f>
        <v>15.4346666666667</v>
      </c>
    </row>
    <row r="193" customFormat="false" ht="15" hidden="false" customHeight="false" outlineLevel="0" collapsed="false">
      <c r="Q193" s="1" t="s">
        <v>293</v>
      </c>
      <c r="U193" s="55" t="s">
        <v>292</v>
      </c>
      <c r="V193" s="56" t="n">
        <v>2</v>
      </c>
      <c r="W193" s="57" t="n">
        <f aca="false">V193*8/$S$5</f>
        <v>1.06666666666667</v>
      </c>
      <c r="X193" s="28" t="n">
        <v>23.6</v>
      </c>
      <c r="Y193" s="28" t="n">
        <f aca="false">W193*X193</f>
        <v>25.1733333333333</v>
      </c>
    </row>
    <row r="194" customFormat="false" ht="15" hidden="false" customHeight="false" outlineLevel="0" collapsed="false">
      <c r="Q194" s="1" t="s">
        <v>294</v>
      </c>
      <c r="U194" s="55" t="s">
        <v>292</v>
      </c>
      <c r="V194" s="56" t="n">
        <v>4</v>
      </c>
      <c r="W194" s="57" t="n">
        <f aca="false">V194*8/$S$5</f>
        <v>2.13333333333333</v>
      </c>
      <c r="X194" s="28" t="n">
        <v>21.36</v>
      </c>
      <c r="Y194" s="28" t="n">
        <f aca="false">W194*X194</f>
        <v>45.568</v>
      </c>
    </row>
    <row r="195" customFormat="false" ht="15" hidden="false" customHeight="false" outlineLevel="0" collapsed="false">
      <c r="U195" s="55"/>
      <c r="V195" s="56"/>
      <c r="W195" s="57"/>
      <c r="Y195" s="86" t="n">
        <f aca="false">SUM(Y192:Y194)</f>
        <v>86.176</v>
      </c>
    </row>
    <row r="196" customFormat="false" ht="15" hidden="false" customHeight="false" outlineLevel="0" collapsed="false">
      <c r="Q196" s="87" t="s">
        <v>654</v>
      </c>
      <c r="U196" s="55"/>
      <c r="V196" s="56"/>
      <c r="W196" s="57"/>
      <c r="Y196" s="28"/>
    </row>
    <row r="197" customFormat="false" ht="15" hidden="false" customHeight="false" outlineLevel="0" collapsed="false">
      <c r="Q197" s="1" t="s">
        <v>673</v>
      </c>
      <c r="U197" s="55" t="s">
        <v>204</v>
      </c>
      <c r="W197" s="57" t="n">
        <v>0.53</v>
      </c>
      <c r="X197" s="28" t="n">
        <v>55.08</v>
      </c>
      <c r="Y197" s="28" t="n">
        <f aca="false">W197*X197</f>
        <v>29.1924</v>
      </c>
    </row>
    <row r="198" customFormat="false" ht="15" hidden="false" customHeight="false" outlineLevel="0" collapsed="false">
      <c r="Q198" s="1" t="s">
        <v>674</v>
      </c>
      <c r="U198" s="55" t="s">
        <v>204</v>
      </c>
      <c r="W198" s="57" t="n">
        <v>0.52</v>
      </c>
      <c r="X198" s="28" t="n">
        <v>47</v>
      </c>
      <c r="Y198" s="28" t="n">
        <f aca="false">W198*X198</f>
        <v>24.44</v>
      </c>
    </row>
    <row r="199" customFormat="false" ht="15" hidden="false" customHeight="false" outlineLevel="0" collapsed="false">
      <c r="Q199" s="1" t="s">
        <v>307</v>
      </c>
      <c r="U199" s="55" t="s">
        <v>308</v>
      </c>
      <c r="W199" s="57" t="n">
        <v>9.73</v>
      </c>
      <c r="X199" s="28" t="n">
        <v>24.52</v>
      </c>
      <c r="Y199" s="28" t="n">
        <f aca="false">W199*X199</f>
        <v>238.5796</v>
      </c>
    </row>
    <row r="200" customFormat="false" ht="15" hidden="false" customHeight="false" outlineLevel="0" collapsed="false">
      <c r="Q200" s="1" t="s">
        <v>656</v>
      </c>
      <c r="U200" s="55" t="s">
        <v>204</v>
      </c>
      <c r="W200" s="57" t="n">
        <v>0.186</v>
      </c>
      <c r="X200" s="1" t="n">
        <v>6.14</v>
      </c>
      <c r="Y200" s="28" t="n">
        <f aca="false">W200*X200</f>
        <v>1.14204</v>
      </c>
    </row>
    <row r="201" customFormat="false" ht="15" hidden="false" customHeight="false" outlineLevel="0" collapsed="false">
      <c r="Q201" s="1" t="s">
        <v>666</v>
      </c>
      <c r="U201" s="55" t="s">
        <v>440</v>
      </c>
      <c r="W201" s="57" t="n">
        <v>0.36</v>
      </c>
      <c r="X201" s="1" t="n">
        <v>13.93</v>
      </c>
      <c r="Y201" s="28" t="n">
        <f aca="false">W201*X201</f>
        <v>5.0148</v>
      </c>
    </row>
    <row r="202" customFormat="false" ht="15" hidden="false" customHeight="false" outlineLevel="0" collapsed="false">
      <c r="U202" s="55"/>
      <c r="W202" s="57"/>
      <c r="X202" s="28"/>
      <c r="Y202" s="86" t="n">
        <f aca="false">SUM(Y197:Y201)</f>
        <v>298.36884</v>
      </c>
    </row>
    <row r="203" customFormat="false" ht="15" hidden="false" customHeight="false" outlineLevel="0" collapsed="false">
      <c r="Q203" s="87" t="s">
        <v>310</v>
      </c>
    </row>
    <row r="204" customFormat="false" ht="15" hidden="false" customHeight="false" outlineLevel="0" collapsed="false">
      <c r="Q204" s="1" t="s">
        <v>311</v>
      </c>
      <c r="U204" s="55" t="s">
        <v>312</v>
      </c>
      <c r="W204" s="57" t="n">
        <v>3</v>
      </c>
      <c r="X204" s="28" t="n">
        <f aca="false">Y195</f>
        <v>86.176</v>
      </c>
      <c r="Y204" s="28" t="n">
        <f aca="false">W204%*X204</f>
        <v>2.58528</v>
      </c>
    </row>
    <row r="205" customFormat="false" ht="15" hidden="false" customHeight="false" outlineLevel="0" collapsed="false">
      <c r="Q205" s="1" t="s">
        <v>668</v>
      </c>
      <c r="U205" s="55" t="s">
        <v>338</v>
      </c>
      <c r="V205" s="56" t="n">
        <v>1</v>
      </c>
      <c r="W205" s="57" t="n">
        <f aca="false">V205*8/$S$5</f>
        <v>0.533333333333333</v>
      </c>
      <c r="X205" s="28" t="n">
        <v>25.63</v>
      </c>
      <c r="Y205" s="28" t="n">
        <f aca="false">W205*X205</f>
        <v>13.6693333333333</v>
      </c>
    </row>
    <row r="206" customFormat="false" ht="15" hidden="false" customHeight="false" outlineLevel="0" collapsed="false">
      <c r="Q206" s="1" t="s">
        <v>676</v>
      </c>
      <c r="U206" s="55" t="s">
        <v>338</v>
      </c>
      <c r="V206" s="56" t="n">
        <v>0.5</v>
      </c>
      <c r="W206" s="57" t="n">
        <f aca="false">V206*8/$S$5</f>
        <v>0.266666666666667</v>
      </c>
      <c r="X206" s="28" t="n">
        <v>7.07</v>
      </c>
      <c r="Y206" s="28" t="n">
        <f aca="false">W206*X206</f>
        <v>1.88533333333333</v>
      </c>
    </row>
    <row r="207" customFormat="false" ht="15" hidden="false" customHeight="false" outlineLevel="0" collapsed="false">
      <c r="P207" s="60"/>
      <c r="Q207" s="60"/>
      <c r="R207" s="60"/>
      <c r="S207" s="60"/>
      <c r="T207" s="60"/>
      <c r="U207" s="60"/>
      <c r="V207" s="60"/>
      <c r="W207" s="60"/>
      <c r="X207" s="60"/>
      <c r="Y207" s="89" t="n">
        <f aca="false">SUM(Y204:Y206)</f>
        <v>18.1399466666667</v>
      </c>
    </row>
    <row r="209" customFormat="false" ht="15" hidden="false" customHeight="false" outlineLevel="0" collapsed="false">
      <c r="P209" s="82" t="s">
        <v>278</v>
      </c>
      <c r="Q209" s="82"/>
      <c r="R209" s="82" t="s">
        <v>580</v>
      </c>
      <c r="S209" s="82"/>
    </row>
    <row r="210" customFormat="false" ht="15" hidden="false" customHeight="false" outlineLevel="0" collapsed="false">
      <c r="P210" s="82" t="s">
        <v>279</v>
      </c>
      <c r="Q210" s="82" t="s">
        <v>280</v>
      </c>
      <c r="R210" s="84" t="s">
        <v>281</v>
      </c>
      <c r="S210" s="85" t="n">
        <v>35</v>
      </c>
      <c r="T210" s="84" t="s">
        <v>282</v>
      </c>
      <c r="U210" s="85" t="n">
        <f aca="false">S210</f>
        <v>35</v>
      </c>
      <c r="V210" s="82" t="s">
        <v>283</v>
      </c>
      <c r="X210" s="84" t="s">
        <v>134</v>
      </c>
      <c r="Y210" s="86" t="n">
        <f aca="false">Y216+Y221+Y224</f>
        <v>47.5915742857143</v>
      </c>
    </row>
    <row r="211" customFormat="false" ht="15" hidden="false" customHeight="false" outlineLevel="0" collapsed="false">
      <c r="P211" s="82" t="s">
        <v>284</v>
      </c>
      <c r="Q211" s="82" t="s">
        <v>285</v>
      </c>
      <c r="U211" s="84" t="s">
        <v>123</v>
      </c>
      <c r="V211" s="84" t="s">
        <v>286</v>
      </c>
      <c r="W211" s="84" t="s">
        <v>287</v>
      </c>
      <c r="X211" s="84" t="s">
        <v>288</v>
      </c>
      <c r="Y211" s="84" t="s">
        <v>289</v>
      </c>
    </row>
    <row r="212" customFormat="false" ht="15" hidden="false" customHeight="false" outlineLevel="0" collapsed="false">
      <c r="Q212" s="87" t="s">
        <v>290</v>
      </c>
    </row>
    <row r="213" customFormat="false" ht="15" hidden="false" customHeight="false" outlineLevel="0" collapsed="false">
      <c r="Q213" s="1" t="s">
        <v>291</v>
      </c>
      <c r="U213" s="55" t="s">
        <v>292</v>
      </c>
      <c r="V213" s="56" t="n">
        <v>2</v>
      </c>
      <c r="W213" s="57" t="n">
        <f aca="false">V213*8/$S$210</f>
        <v>0.457142857142857</v>
      </c>
      <c r="X213" s="28" t="n">
        <v>28.94</v>
      </c>
      <c r="Y213" s="28" t="n">
        <f aca="false">W213*X213</f>
        <v>13.2297142857143</v>
      </c>
    </row>
    <row r="214" customFormat="false" ht="15" hidden="false" customHeight="false" outlineLevel="0" collapsed="false">
      <c r="Q214" s="1" t="s">
        <v>293</v>
      </c>
      <c r="U214" s="55" t="s">
        <v>292</v>
      </c>
      <c r="V214" s="56" t="n">
        <v>1</v>
      </c>
      <c r="W214" s="57" t="n">
        <f aca="false">V214*8/$S$210</f>
        <v>0.228571428571429</v>
      </c>
      <c r="X214" s="28" t="n">
        <v>23.6</v>
      </c>
      <c r="Y214" s="28" t="n">
        <f aca="false">W214*X214</f>
        <v>5.39428571428571</v>
      </c>
    </row>
    <row r="215" customFormat="false" ht="15" hidden="false" customHeight="false" outlineLevel="0" collapsed="false">
      <c r="Q215" s="1" t="s">
        <v>294</v>
      </c>
      <c r="U215" s="55" t="s">
        <v>292</v>
      </c>
      <c r="V215" s="56" t="n">
        <v>1</v>
      </c>
      <c r="W215" s="57" t="n">
        <f aca="false">V215*8/$S$210</f>
        <v>0.228571428571429</v>
      </c>
      <c r="X215" s="28" t="n">
        <v>21.36</v>
      </c>
      <c r="Y215" s="28" t="n">
        <f aca="false">W215*X215</f>
        <v>4.88228571428571</v>
      </c>
    </row>
    <row r="216" customFormat="false" ht="15" hidden="false" customHeight="false" outlineLevel="0" collapsed="false">
      <c r="U216" s="55"/>
      <c r="V216" s="56"/>
      <c r="W216" s="57"/>
      <c r="Y216" s="86" t="n">
        <f aca="false">SUM(Y213:Y215)</f>
        <v>23.5062857142857</v>
      </c>
    </row>
    <row r="217" customFormat="false" ht="15" hidden="false" customHeight="false" outlineLevel="0" collapsed="false">
      <c r="Q217" s="87" t="s">
        <v>654</v>
      </c>
      <c r="U217" s="55"/>
      <c r="V217" s="56"/>
      <c r="W217" s="57"/>
      <c r="Y217" s="28"/>
    </row>
    <row r="218" customFormat="false" ht="15" hidden="false" customHeight="false" outlineLevel="0" collapsed="false">
      <c r="Q218" s="1" t="s">
        <v>689</v>
      </c>
      <c r="U218" s="55" t="s">
        <v>297</v>
      </c>
      <c r="W218" s="57" t="n">
        <v>0.3</v>
      </c>
      <c r="X218" s="28" t="n">
        <v>2.64</v>
      </c>
      <c r="Y218" s="28" t="n">
        <f aca="false">W218*X218</f>
        <v>0.792</v>
      </c>
    </row>
    <row r="219" customFormat="false" ht="15" hidden="false" customHeight="false" outlineLevel="0" collapsed="false">
      <c r="Q219" s="1" t="s">
        <v>302</v>
      </c>
      <c r="U219" s="55" t="s">
        <v>297</v>
      </c>
      <c r="W219" s="57" t="n">
        <v>0.31</v>
      </c>
      <c r="X219" s="28" t="n">
        <v>5.51</v>
      </c>
      <c r="Y219" s="28" t="n">
        <f aca="false">W219*X219</f>
        <v>1.7081</v>
      </c>
    </row>
    <row r="220" customFormat="false" ht="15" hidden="false" customHeight="false" outlineLevel="0" collapsed="false">
      <c r="Q220" s="1" t="s">
        <v>670</v>
      </c>
      <c r="U220" s="55" t="s">
        <v>306</v>
      </c>
      <c r="W220" s="57" t="n">
        <v>3.6</v>
      </c>
      <c r="X220" s="28" t="n">
        <v>5.8</v>
      </c>
      <c r="Y220" s="28" t="n">
        <f aca="false">W220*X220</f>
        <v>20.88</v>
      </c>
    </row>
    <row r="221" customFormat="false" ht="15" hidden="false" customHeight="false" outlineLevel="0" collapsed="false">
      <c r="U221" s="55"/>
      <c r="W221" s="57"/>
      <c r="X221" s="28"/>
      <c r="Y221" s="86" t="n">
        <f aca="false">SUM(Y218:Y220)</f>
        <v>23.3801</v>
      </c>
    </row>
    <row r="222" customFormat="false" ht="15" hidden="false" customHeight="false" outlineLevel="0" collapsed="false">
      <c r="Q222" s="87" t="s">
        <v>310</v>
      </c>
    </row>
    <row r="223" customFormat="false" ht="15" hidden="false" customHeight="false" outlineLevel="0" collapsed="false">
      <c r="Q223" s="1" t="s">
        <v>311</v>
      </c>
      <c r="U223" s="55" t="s">
        <v>312</v>
      </c>
      <c r="W223" s="57" t="n">
        <v>3</v>
      </c>
      <c r="X223" s="28" t="n">
        <f aca="false">Y216</f>
        <v>23.5062857142857</v>
      </c>
      <c r="Y223" s="28" t="n">
        <f aca="false">W223%*X223</f>
        <v>0.705188571428571</v>
      </c>
    </row>
    <row r="224" customFormat="false" ht="15" hidden="false" customHeight="false" outlineLevel="0" collapsed="false">
      <c r="P224" s="60"/>
      <c r="Q224" s="60"/>
      <c r="R224" s="60"/>
      <c r="S224" s="60"/>
      <c r="T224" s="60"/>
      <c r="U224" s="60"/>
      <c r="V224" s="60"/>
      <c r="W224" s="60"/>
      <c r="X224" s="60"/>
      <c r="Y224" s="89" t="n">
        <f aca="false">SUM(Y223)</f>
        <v>0.705188571428571</v>
      </c>
    </row>
    <row r="226" customFormat="false" ht="15" hidden="false" customHeight="false" outlineLevel="0" collapsed="false">
      <c r="P226" s="82" t="s">
        <v>278</v>
      </c>
      <c r="Q226" s="82"/>
      <c r="R226" s="82" t="s">
        <v>582</v>
      </c>
      <c r="S226" s="82"/>
    </row>
    <row r="227" customFormat="false" ht="15" hidden="false" customHeight="false" outlineLevel="0" collapsed="false">
      <c r="P227" s="82" t="s">
        <v>279</v>
      </c>
      <c r="Q227" s="82" t="s">
        <v>280</v>
      </c>
      <c r="R227" s="84" t="s">
        <v>281</v>
      </c>
      <c r="S227" s="85" t="n">
        <v>250</v>
      </c>
      <c r="T227" s="84" t="s">
        <v>282</v>
      </c>
      <c r="U227" s="85" t="n">
        <f aca="false">S227</f>
        <v>250</v>
      </c>
      <c r="V227" s="82" t="s">
        <v>283</v>
      </c>
      <c r="X227" s="84" t="s">
        <v>134</v>
      </c>
      <c r="Y227" s="86" t="n">
        <f aca="false">Y232+Y236+Y240</f>
        <v>5.5639628445</v>
      </c>
    </row>
    <row r="228" customFormat="false" ht="15" hidden="false" customHeight="false" outlineLevel="0" collapsed="false">
      <c r="P228" s="82" t="s">
        <v>284</v>
      </c>
      <c r="Q228" s="82" t="s">
        <v>285</v>
      </c>
      <c r="U228" s="84" t="s">
        <v>123</v>
      </c>
      <c r="V228" s="84" t="s">
        <v>286</v>
      </c>
      <c r="W228" s="84" t="s">
        <v>287</v>
      </c>
      <c r="X228" s="84" t="s">
        <v>288</v>
      </c>
      <c r="Y228" s="84" t="s">
        <v>289</v>
      </c>
    </row>
    <row r="229" customFormat="false" ht="15" hidden="false" customHeight="false" outlineLevel="0" collapsed="false">
      <c r="Q229" s="87" t="s">
        <v>290</v>
      </c>
    </row>
    <row r="230" customFormat="false" ht="15" hidden="false" customHeight="false" outlineLevel="0" collapsed="false">
      <c r="Q230" s="1" t="s">
        <v>291</v>
      </c>
      <c r="U230" s="55" t="s">
        <v>292</v>
      </c>
      <c r="V230" s="56" t="n">
        <v>1</v>
      </c>
      <c r="W230" s="99" t="n">
        <f aca="false">V230*8/$S$43</f>
        <v>0.032</v>
      </c>
      <c r="X230" s="28" t="n">
        <v>28.94</v>
      </c>
      <c r="Y230" s="28" t="n">
        <f aca="false">W230*X230</f>
        <v>0.92608</v>
      </c>
    </row>
    <row r="231" customFormat="false" ht="15" hidden="false" customHeight="false" outlineLevel="0" collapsed="false">
      <c r="Q231" s="1" t="s">
        <v>680</v>
      </c>
      <c r="U231" s="55" t="s">
        <v>292</v>
      </c>
      <c r="V231" s="56" t="n">
        <v>1</v>
      </c>
      <c r="W231" s="99" t="n">
        <f aca="false">V231*8/$S$43</f>
        <v>0.032</v>
      </c>
      <c r="X231" s="28" t="n">
        <v>23.6</v>
      </c>
      <c r="Y231" s="28" t="n">
        <f aca="false">W231*X231</f>
        <v>0.7552</v>
      </c>
    </row>
    <row r="232" customFormat="false" ht="15" hidden="false" customHeight="false" outlineLevel="0" collapsed="false">
      <c r="U232" s="55"/>
      <c r="V232" s="56"/>
      <c r="Y232" s="86" t="n">
        <f aca="false">SUM(Y230:Y231)</f>
        <v>1.68128</v>
      </c>
    </row>
    <row r="233" customFormat="false" ht="15" hidden="false" customHeight="false" outlineLevel="0" collapsed="false">
      <c r="Q233" s="87" t="s">
        <v>295</v>
      </c>
      <c r="U233" s="55"/>
      <c r="V233" s="56"/>
      <c r="W233" s="99"/>
    </row>
    <row r="234" customFormat="false" ht="15" hidden="false" customHeight="false" outlineLevel="0" collapsed="false">
      <c r="Q234" s="1" t="s">
        <v>296</v>
      </c>
      <c r="U234" s="55" t="s">
        <v>297</v>
      </c>
      <c r="V234" s="56"/>
      <c r="W234" s="99" t="n">
        <v>0.03</v>
      </c>
      <c r="X234" s="28" t="n">
        <v>2.64</v>
      </c>
      <c r="Y234" s="28" t="n">
        <f aca="false">W234*X234</f>
        <v>0.0792</v>
      </c>
    </row>
    <row r="235" customFormat="false" ht="15" hidden="false" customHeight="false" outlineLevel="0" collapsed="false">
      <c r="Q235" s="1" t="s">
        <v>681</v>
      </c>
      <c r="U235" s="55" t="s">
        <v>297</v>
      </c>
      <c r="V235" s="56"/>
      <c r="W235" s="99" t="n">
        <v>1.05</v>
      </c>
      <c r="X235" s="28" t="n">
        <f aca="false">1012.71*3.379/1000</f>
        <v>3.42194709</v>
      </c>
      <c r="Y235" s="28" t="n">
        <f aca="false">W235*X235</f>
        <v>3.5930444445</v>
      </c>
    </row>
    <row r="236" customFormat="false" ht="15" hidden="false" customHeight="false" outlineLevel="0" collapsed="false">
      <c r="U236" s="55"/>
      <c r="V236" s="56"/>
      <c r="Y236" s="86" t="n">
        <f aca="false">SUM(Y234:Y235)</f>
        <v>3.6722444445</v>
      </c>
    </row>
    <row r="237" customFormat="false" ht="15" hidden="false" customHeight="false" outlineLevel="0" collapsed="false">
      <c r="Q237" s="87" t="s">
        <v>318</v>
      </c>
      <c r="U237" s="55"/>
      <c r="V237" s="56"/>
    </row>
    <row r="238" customFormat="false" ht="15" hidden="false" customHeight="false" outlineLevel="0" collapsed="false">
      <c r="Q238" s="1" t="s">
        <v>311</v>
      </c>
      <c r="U238" s="55" t="s">
        <v>312</v>
      </c>
      <c r="W238" s="57" t="n">
        <v>3</v>
      </c>
      <c r="X238" s="28" t="n">
        <f aca="false">Y232</f>
        <v>1.68128</v>
      </c>
      <c r="Y238" s="28" t="n">
        <f aca="false">W238%*X238</f>
        <v>0.0504384</v>
      </c>
    </row>
    <row r="239" customFormat="false" ht="15" hidden="false" customHeight="false" outlineLevel="0" collapsed="false">
      <c r="Q239" s="1" t="s">
        <v>682</v>
      </c>
      <c r="U239" s="55" t="s">
        <v>292</v>
      </c>
      <c r="V239" s="56" t="n">
        <v>1</v>
      </c>
      <c r="W239" s="99" t="n">
        <f aca="false">V239*8/$S$43</f>
        <v>0.032</v>
      </c>
      <c r="X239" s="46" t="n">
        <v>5</v>
      </c>
      <c r="Y239" s="28" t="n">
        <f aca="false">W239*X239</f>
        <v>0.16</v>
      </c>
    </row>
    <row r="240" customFormat="false" ht="15" hidden="false" customHeight="false" outlineLevel="0" collapsed="false">
      <c r="P240" s="60"/>
      <c r="Q240" s="60"/>
      <c r="R240" s="60"/>
      <c r="S240" s="60"/>
      <c r="T240" s="60"/>
      <c r="U240" s="60"/>
      <c r="V240" s="60"/>
      <c r="W240" s="60"/>
      <c r="X240" s="60"/>
      <c r="Y240" s="89" t="n">
        <f aca="false">SUM(Y238:Y239)</f>
        <v>0.2104384</v>
      </c>
    </row>
    <row r="366" customFormat="false" ht="15" hidden="false" customHeight="false" outlineLevel="0" collapsed="false">
      <c r="L366" s="15"/>
    </row>
    <row r="419" customFormat="false" ht="15" hidden="false" customHeight="false" outlineLevel="0" collapsed="false">
      <c r="Q419" s="87"/>
      <c r="U419" s="55"/>
      <c r="V419" s="56"/>
      <c r="W419" s="57"/>
      <c r="Y419" s="2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2:AH4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8.59765625" defaultRowHeight="15" zeroHeight="false" outlineLevelRow="0" outlineLevelCol="0"/>
  <cols>
    <col collapsed="false" customWidth="true" hidden="false" outlineLevel="0" max="7" min="7" style="1" width="9.3"/>
    <col collapsed="false" customWidth="true" hidden="false" outlineLevel="0" max="12" min="12" style="1" width="14.86"/>
    <col collapsed="false" customWidth="true" hidden="false" outlineLevel="0" max="19" min="19" style="1" width="10.29"/>
    <col collapsed="false" customWidth="true" hidden="false" outlineLevel="0" max="22" min="22" style="1" width="9.43"/>
  </cols>
  <sheetData>
    <row r="2" customFormat="false" ht="15" hidden="false" customHeight="false" outlineLevel="0" collapsed="false">
      <c r="L2" s="157" t="s">
        <v>88</v>
      </c>
      <c r="M2" s="157" t="n">
        <f aca="false">IF('Datos iniciales '!D11="SI",'Datos iniciales '!B11,0)</f>
        <v>3459.53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157"/>
    </row>
    <row r="4" customFormat="false" ht="15" hidden="false" customHeight="false" outlineLevel="0" collapsed="false">
      <c r="A4" s="15"/>
      <c r="E4" s="57"/>
      <c r="F4" s="204"/>
      <c r="G4" s="71"/>
      <c r="H4" s="204"/>
      <c r="J4" s="1" t="n">
        <f aca="false">SUM(I5:I24)</f>
        <v>177989.931311502</v>
      </c>
      <c r="L4" s="157" t="s">
        <v>1369</v>
      </c>
      <c r="M4" s="157" t="n">
        <f aca="false">J4/M2</f>
        <v>51.449165439092</v>
      </c>
      <c r="P4" s="82" t="s">
        <v>278</v>
      </c>
      <c r="Q4" s="82"/>
      <c r="R4" s="82" t="s">
        <v>690</v>
      </c>
      <c r="S4" s="82"/>
    </row>
    <row r="5" customFormat="false" ht="15" hidden="false" customHeight="false" outlineLevel="0" collapsed="false">
      <c r="A5" s="15" t="s">
        <v>533</v>
      </c>
      <c r="E5" s="57"/>
      <c r="F5" s="204"/>
      <c r="G5" s="71"/>
      <c r="P5" s="82" t="s">
        <v>279</v>
      </c>
      <c r="Q5" s="82" t="s">
        <v>417</v>
      </c>
      <c r="R5" s="84" t="s">
        <v>281</v>
      </c>
      <c r="S5" s="85" t="n">
        <v>15</v>
      </c>
      <c r="T5" s="84" t="s">
        <v>282</v>
      </c>
      <c r="U5" s="85" t="n">
        <f aca="false">S5</f>
        <v>15</v>
      </c>
      <c r="V5" s="82" t="s">
        <v>283</v>
      </c>
      <c r="X5" s="84" t="s">
        <v>204</v>
      </c>
      <c r="Y5" s="86" t="n">
        <f aca="false">Y11+Y18+Y23</f>
        <v>359.083626666667</v>
      </c>
    </row>
    <row r="6" customFormat="false" ht="16.4" hidden="false" customHeight="false" outlineLevel="0" collapsed="false">
      <c r="A6" s="1" t="s">
        <v>535</v>
      </c>
      <c r="E6" s="1" t="n">
        <f aca="false">0.160129573170732*0.15</f>
        <v>0.0240194359756098</v>
      </c>
      <c r="F6" s="204" t="s">
        <v>204</v>
      </c>
      <c r="G6" s="71" t="n">
        <f aca="false">E6*$M$2</f>
        <v>83.0959593407014</v>
      </c>
      <c r="H6" s="205" t="n">
        <f aca="false">Y5</f>
        <v>359.083626666667</v>
      </c>
      <c r="I6" s="1" t="n">
        <f aca="false">G6*H6</f>
        <v>29838.3984414049</v>
      </c>
      <c r="P6" s="82" t="s">
        <v>284</v>
      </c>
      <c r="Q6" s="82" t="s">
        <v>285</v>
      </c>
      <c r="U6" s="84" t="s">
        <v>123</v>
      </c>
      <c r="V6" s="84" t="s">
        <v>286</v>
      </c>
      <c r="W6" s="84" t="s">
        <v>287</v>
      </c>
      <c r="X6" s="84" t="s">
        <v>288</v>
      </c>
      <c r="Y6" s="84" t="s">
        <v>289</v>
      </c>
    </row>
    <row r="7" customFormat="false" ht="16.4" hidden="false" customHeight="false" outlineLevel="0" collapsed="false">
      <c r="A7" s="1" t="s">
        <v>537</v>
      </c>
      <c r="E7" s="1" t="n">
        <f aca="false">1.16524390243902*0.35</f>
        <v>0.407835365853657</v>
      </c>
      <c r="F7" s="204" t="s">
        <v>134</v>
      </c>
      <c r="G7" s="71" t="n">
        <f aca="false">E7*$M$2</f>
        <v>1410.9186832317</v>
      </c>
      <c r="H7" s="206" t="n">
        <f aca="false">Y26</f>
        <v>47.0115742857143</v>
      </c>
      <c r="I7" s="1" t="n">
        <f aca="false">G7*H7</f>
        <v>66329.5084878493</v>
      </c>
      <c r="Q7" s="87" t="s">
        <v>290</v>
      </c>
    </row>
    <row r="8" customFormat="false" ht="16.4" hidden="false" customHeight="false" outlineLevel="0" collapsed="false">
      <c r="A8" s="1" t="s">
        <v>539</v>
      </c>
      <c r="F8" s="204" t="s">
        <v>297</v>
      </c>
      <c r="G8" s="207" t="n">
        <f aca="false">G6*80</f>
        <v>6647.67674725611</v>
      </c>
      <c r="H8" s="205" t="n">
        <f aca="false">Y43</f>
        <v>5.5639628445</v>
      </c>
      <c r="I8" s="1" t="n">
        <f aca="false">G8*H8</f>
        <v>36987.4264239796</v>
      </c>
      <c r="J8" s="1" t="n">
        <f aca="false">G8/G6</f>
        <v>80</v>
      </c>
      <c r="Q8" s="1" t="s">
        <v>291</v>
      </c>
      <c r="U8" s="55" t="s">
        <v>292</v>
      </c>
      <c r="V8" s="56" t="n">
        <v>1</v>
      </c>
      <c r="W8" s="57" t="n">
        <f aca="false">V8*8/$S$5</f>
        <v>0.533333333333333</v>
      </c>
      <c r="X8" s="28" t="n">
        <v>28.94</v>
      </c>
      <c r="Y8" s="28" t="n">
        <f aca="false">W8*X8</f>
        <v>15.4346666666667</v>
      </c>
    </row>
    <row r="9" customFormat="false" ht="15" hidden="false" customHeight="false" outlineLevel="0" collapsed="false">
      <c r="A9" s="15" t="s">
        <v>549</v>
      </c>
      <c r="G9" s="71"/>
      <c r="Q9" s="1" t="s">
        <v>293</v>
      </c>
      <c r="U9" s="55" t="s">
        <v>292</v>
      </c>
      <c r="V9" s="56" t="n">
        <v>2</v>
      </c>
      <c r="W9" s="57" t="n">
        <f aca="false">V9*8/$S$5</f>
        <v>1.06666666666667</v>
      </c>
      <c r="X9" s="28" t="n">
        <v>23.6</v>
      </c>
      <c r="Y9" s="28" t="n">
        <f aca="false">W9*X9</f>
        <v>25.1733333333333</v>
      </c>
    </row>
    <row r="10" customFormat="false" ht="16.4" hidden="false" customHeight="false" outlineLevel="0" collapsed="false">
      <c r="A10" s="1" t="s">
        <v>551</v>
      </c>
      <c r="E10" s="1" t="n">
        <f aca="false">0.168490853658537*0.05</f>
        <v>0.00842454268292685</v>
      </c>
      <c r="F10" s="204" t="s">
        <v>204</v>
      </c>
      <c r="G10" s="71" t="n">
        <f aca="false">E10*$M$2</f>
        <v>29.1449581478659</v>
      </c>
      <c r="H10" s="208" t="n">
        <f aca="false">Y61</f>
        <v>349.618832</v>
      </c>
      <c r="I10" s="1" t="n">
        <f aca="false">G10*H10</f>
        <v>10189.6262263458</v>
      </c>
      <c r="Q10" s="1" t="s">
        <v>294</v>
      </c>
      <c r="U10" s="55" t="s">
        <v>292</v>
      </c>
      <c r="V10" s="56" t="n">
        <v>4</v>
      </c>
      <c r="W10" s="57" t="n">
        <f aca="false">V10*8/$S$5</f>
        <v>2.13333333333333</v>
      </c>
      <c r="X10" s="28" t="n">
        <v>21.36</v>
      </c>
      <c r="Y10" s="28" t="n">
        <f aca="false">W10*X10</f>
        <v>45.568</v>
      </c>
    </row>
    <row r="11" customFormat="false" ht="16.4" hidden="false" customHeight="false" outlineLevel="0" collapsed="false">
      <c r="A11" s="1" t="s">
        <v>553</v>
      </c>
      <c r="E11" s="1" t="n">
        <f aca="false">0.822259908536585*0.15</f>
        <v>0.123338986280488</v>
      </c>
      <c r="F11" s="204" t="s">
        <v>134</v>
      </c>
      <c r="G11" s="71" t="n">
        <f aca="false">E11*$M$2</f>
        <v>426.694923206936</v>
      </c>
      <c r="H11" s="209" t="n">
        <f aca="false">Y83</f>
        <v>50.7905142857143</v>
      </c>
      <c r="I11" s="1" t="n">
        <f aca="false">G11*H11</f>
        <v>21672.0545927836</v>
      </c>
      <c r="U11" s="55"/>
      <c r="V11" s="56"/>
      <c r="W11" s="57"/>
      <c r="Y11" s="86" t="n">
        <f aca="false">SUM(Y8:Y10)</f>
        <v>86.176</v>
      </c>
    </row>
    <row r="12" customFormat="false" ht="16.4" hidden="false" customHeight="false" outlineLevel="0" collapsed="false">
      <c r="A12" s="1" t="s">
        <v>555</v>
      </c>
      <c r="F12" s="204" t="s">
        <v>297</v>
      </c>
      <c r="G12" s="207" t="n">
        <f aca="false">G10*80</f>
        <v>2331.59665182927</v>
      </c>
      <c r="H12" s="28" t="n">
        <f aca="false">Y99</f>
        <v>5.5639628445</v>
      </c>
      <c r="I12" s="1" t="n">
        <f aca="false">G12*H12</f>
        <v>12972.9171391387</v>
      </c>
      <c r="J12" s="1" t="n">
        <f aca="false">G12/G10</f>
        <v>80</v>
      </c>
      <c r="Q12" s="87" t="s">
        <v>654</v>
      </c>
      <c r="U12" s="55"/>
      <c r="V12" s="56"/>
      <c r="W12" s="57"/>
      <c r="Y12" s="28"/>
    </row>
    <row r="13" customFormat="false" ht="15" hidden="false" customHeight="false" outlineLevel="0" collapsed="false">
      <c r="A13" s="15"/>
      <c r="G13" s="71"/>
      <c r="Q13" s="1" t="s">
        <v>673</v>
      </c>
      <c r="U13" s="55" t="s">
        <v>204</v>
      </c>
      <c r="W13" s="57" t="n">
        <v>0.51</v>
      </c>
      <c r="X13" s="28" t="n">
        <v>55.08</v>
      </c>
      <c r="Y13" s="28" t="n">
        <f aca="false">W13*X13</f>
        <v>28.0908</v>
      </c>
    </row>
    <row r="14" customFormat="false" ht="15" hidden="false" customHeight="false" outlineLevel="0" collapsed="false">
      <c r="A14" s="71"/>
      <c r="G14" s="71"/>
      <c r="H14" s="28"/>
      <c r="Q14" s="1" t="s">
        <v>674</v>
      </c>
      <c r="U14" s="55" t="s">
        <v>204</v>
      </c>
      <c r="W14" s="57" t="n">
        <v>0.49</v>
      </c>
      <c r="X14" s="28" t="n">
        <v>47</v>
      </c>
      <c r="Y14" s="28" t="n">
        <f aca="false">W14*X14</f>
        <v>23.03</v>
      </c>
    </row>
    <row r="15" customFormat="false" ht="15" hidden="false" customHeight="false" outlineLevel="0" collapsed="false">
      <c r="A15" s="71"/>
      <c r="Q15" s="1" t="s">
        <v>307</v>
      </c>
      <c r="U15" s="55" t="s">
        <v>308</v>
      </c>
      <c r="W15" s="57" t="n">
        <v>8.02</v>
      </c>
      <c r="X15" s="28" t="n">
        <v>24.52</v>
      </c>
      <c r="Y15" s="28" t="n">
        <f aca="false">W15*X15</f>
        <v>196.6504</v>
      </c>
    </row>
    <row r="16" customFormat="false" ht="15" hidden="false" customHeight="false" outlineLevel="0" collapsed="false">
      <c r="A16" s="71"/>
      <c r="Q16" s="1" t="s">
        <v>656</v>
      </c>
      <c r="U16" s="55" t="s">
        <v>204</v>
      </c>
      <c r="W16" s="57" t="n">
        <v>0.232</v>
      </c>
      <c r="X16" s="1" t="n">
        <v>6.14</v>
      </c>
      <c r="Y16" s="28" t="n">
        <f aca="false">W16*X16</f>
        <v>1.42448</v>
      </c>
    </row>
    <row r="17" customFormat="false" ht="15" hidden="false" customHeight="false" outlineLevel="0" collapsed="false">
      <c r="A17" s="71"/>
      <c r="Q17" s="1" t="s">
        <v>666</v>
      </c>
      <c r="U17" s="55" t="s">
        <v>440</v>
      </c>
      <c r="W17" s="57" t="n">
        <v>0.4</v>
      </c>
      <c r="X17" s="1" t="n">
        <v>13.93</v>
      </c>
      <c r="Y17" s="28" t="n">
        <f aca="false">W17*X17</f>
        <v>5.572</v>
      </c>
    </row>
    <row r="18" customFormat="false" ht="15" hidden="false" customHeight="false" outlineLevel="0" collapsed="false">
      <c r="A18" s="72"/>
      <c r="B18" s="73"/>
      <c r="C18" s="73"/>
      <c r="U18" s="55"/>
      <c r="W18" s="57"/>
      <c r="X18" s="28"/>
      <c r="Y18" s="86" t="n">
        <f aca="false">SUM(Y13:Y17)</f>
        <v>254.76768</v>
      </c>
    </row>
    <row r="19" customFormat="false" ht="15" hidden="false" customHeight="false" outlineLevel="0" collapsed="false">
      <c r="A19" s="73"/>
      <c r="B19" s="73"/>
      <c r="C19" s="73"/>
      <c r="E19" s="73"/>
      <c r="Q19" s="87" t="s">
        <v>310</v>
      </c>
    </row>
    <row r="20" customFormat="false" ht="15" hidden="false" customHeight="false" outlineLevel="0" collapsed="false">
      <c r="A20" s="73"/>
      <c r="B20" s="73"/>
      <c r="C20" s="73"/>
      <c r="E20" s="73"/>
      <c r="Q20" s="1" t="s">
        <v>311</v>
      </c>
      <c r="U20" s="55" t="s">
        <v>312</v>
      </c>
      <c r="W20" s="57" t="n">
        <v>3</v>
      </c>
      <c r="X20" s="28" t="n">
        <f aca="false">Y11</f>
        <v>86.176</v>
      </c>
      <c r="Y20" s="28" t="n">
        <f aca="false">W20%*X20</f>
        <v>2.58528</v>
      </c>
    </row>
    <row r="21" customFormat="false" ht="15" hidden="false" customHeight="false" outlineLevel="0" collapsed="false">
      <c r="A21" s="73"/>
      <c r="B21" s="73"/>
      <c r="C21" s="73"/>
      <c r="E21" s="73"/>
      <c r="Q21" s="1" t="s">
        <v>668</v>
      </c>
      <c r="U21" s="55" t="s">
        <v>338</v>
      </c>
      <c r="V21" s="56" t="n">
        <v>1</v>
      </c>
      <c r="W21" s="57" t="n">
        <f aca="false">V21*8/$S$5</f>
        <v>0.533333333333333</v>
      </c>
      <c r="X21" s="28" t="n">
        <v>25.63</v>
      </c>
      <c r="Y21" s="28" t="n">
        <f aca="false">W21*X21</f>
        <v>13.6693333333333</v>
      </c>
    </row>
    <row r="22" customFormat="false" ht="15" hidden="false" customHeight="false" outlineLevel="0" collapsed="false">
      <c r="A22" s="15"/>
      <c r="E22" s="57"/>
      <c r="Q22" s="1" t="s">
        <v>676</v>
      </c>
      <c r="U22" s="55" t="s">
        <v>338</v>
      </c>
      <c r="V22" s="56" t="n">
        <v>0.5</v>
      </c>
      <c r="W22" s="57" t="n">
        <f aca="false">V22*8/$S$5</f>
        <v>0.266666666666667</v>
      </c>
      <c r="X22" s="28" t="n">
        <v>7.07</v>
      </c>
      <c r="Y22" s="28" t="n">
        <f aca="false">W22*X22</f>
        <v>1.88533333333333</v>
      </c>
    </row>
    <row r="23" customFormat="false" ht="15" hidden="false" customHeight="false" outlineLevel="0" collapsed="false">
      <c r="E23" s="57"/>
      <c r="F23" s="210"/>
      <c r="G23" s="71"/>
      <c r="H23" s="211"/>
      <c r="P23" s="60"/>
      <c r="Q23" s="60"/>
      <c r="R23" s="60"/>
      <c r="S23" s="60"/>
      <c r="T23" s="60"/>
      <c r="U23" s="60"/>
      <c r="V23" s="60"/>
      <c r="W23" s="60"/>
      <c r="X23" s="60"/>
      <c r="Y23" s="89" t="n">
        <f aca="false">SUM(Y20:Y22)</f>
        <v>18.1399466666667</v>
      </c>
    </row>
    <row r="24" customFormat="false" ht="15" hidden="false" customHeight="false" outlineLevel="0" collapsed="false">
      <c r="A24" s="69"/>
      <c r="E24" s="57"/>
      <c r="F24" s="210"/>
      <c r="G24" s="71"/>
      <c r="H24" s="208"/>
    </row>
    <row r="25" customFormat="false" ht="15" hidden="false" customHeight="false" outlineLevel="0" collapsed="false">
      <c r="P25" s="82" t="s">
        <v>278</v>
      </c>
      <c r="Q25" s="82"/>
      <c r="R25" s="82" t="s">
        <v>537</v>
      </c>
      <c r="S25" s="82"/>
    </row>
    <row r="26" customFormat="false" ht="15" hidden="false" customHeight="false" outlineLevel="0" collapsed="false">
      <c r="P26" s="82" t="s">
        <v>279</v>
      </c>
      <c r="Q26" s="82" t="s">
        <v>280</v>
      </c>
      <c r="R26" s="84" t="s">
        <v>281</v>
      </c>
      <c r="S26" s="85" t="n">
        <v>35</v>
      </c>
      <c r="T26" s="84" t="s">
        <v>282</v>
      </c>
      <c r="U26" s="85" t="n">
        <f aca="false">S26</f>
        <v>35</v>
      </c>
      <c r="V26" s="82" t="s">
        <v>283</v>
      </c>
      <c r="X26" s="84" t="s">
        <v>134</v>
      </c>
      <c r="Y26" s="86" t="n">
        <f aca="false">Y32+Y37+Y40</f>
        <v>47.0115742857143</v>
      </c>
    </row>
    <row r="27" customFormat="false" ht="15" hidden="false" customHeight="false" outlineLevel="0" collapsed="false">
      <c r="P27" s="82" t="s">
        <v>284</v>
      </c>
      <c r="Q27" s="82" t="s">
        <v>285</v>
      </c>
      <c r="U27" s="84" t="s">
        <v>123</v>
      </c>
      <c r="V27" s="84" t="s">
        <v>286</v>
      </c>
      <c r="W27" s="84" t="s">
        <v>287</v>
      </c>
      <c r="X27" s="84" t="s">
        <v>288</v>
      </c>
      <c r="Y27" s="84" t="s">
        <v>289</v>
      </c>
    </row>
    <row r="28" customFormat="false" ht="15" hidden="false" customHeight="false" outlineLevel="0" collapsed="false">
      <c r="Q28" s="87" t="s">
        <v>290</v>
      </c>
    </row>
    <row r="29" customFormat="false" ht="15" hidden="false" customHeight="false" outlineLevel="0" collapsed="false">
      <c r="Q29" s="1" t="s">
        <v>291</v>
      </c>
      <c r="U29" s="55" t="s">
        <v>292</v>
      </c>
      <c r="V29" s="56" t="n">
        <v>2</v>
      </c>
      <c r="W29" s="57" t="n">
        <f aca="false">V29*8/$S$26</f>
        <v>0.457142857142857</v>
      </c>
      <c r="X29" s="28" t="n">
        <v>28.94</v>
      </c>
      <c r="Y29" s="28" t="n">
        <f aca="false">W29*X29</f>
        <v>13.2297142857143</v>
      </c>
    </row>
    <row r="30" customFormat="false" ht="15" hidden="false" customHeight="false" outlineLevel="0" collapsed="false">
      <c r="Q30" s="1" t="s">
        <v>293</v>
      </c>
      <c r="U30" s="55" t="s">
        <v>292</v>
      </c>
      <c r="V30" s="56" t="n">
        <v>1</v>
      </c>
      <c r="W30" s="57" t="n">
        <f aca="false">V30*8/$S$26</f>
        <v>0.228571428571429</v>
      </c>
      <c r="X30" s="28" t="n">
        <v>23.6</v>
      </c>
      <c r="Y30" s="28" t="n">
        <f aca="false">W30*X30</f>
        <v>5.39428571428571</v>
      </c>
    </row>
    <row r="31" customFormat="false" ht="15" hidden="false" customHeight="false" outlineLevel="0" collapsed="false">
      <c r="Q31" s="1" t="s">
        <v>294</v>
      </c>
      <c r="U31" s="55" t="s">
        <v>292</v>
      </c>
      <c r="V31" s="56" t="n">
        <v>1</v>
      </c>
      <c r="W31" s="57" t="n">
        <f aca="false">V31*8/$S$26</f>
        <v>0.228571428571429</v>
      </c>
      <c r="X31" s="28" t="n">
        <v>21.36</v>
      </c>
      <c r="Y31" s="28" t="n">
        <f aca="false">W31*X31</f>
        <v>4.88228571428571</v>
      </c>
    </row>
    <row r="32" customFormat="false" ht="15" hidden="false" customHeight="false" outlineLevel="0" collapsed="false">
      <c r="U32" s="55"/>
      <c r="V32" s="56"/>
      <c r="W32" s="57"/>
      <c r="Y32" s="86" t="n">
        <f aca="false">SUM(Y29:Y31)</f>
        <v>23.5062857142857</v>
      </c>
    </row>
    <row r="33" customFormat="false" ht="15" hidden="false" customHeight="false" outlineLevel="0" collapsed="false">
      <c r="Q33" s="87" t="s">
        <v>654</v>
      </c>
      <c r="U33" s="55"/>
      <c r="V33" s="56"/>
      <c r="W33" s="57"/>
      <c r="Y33" s="28"/>
    </row>
    <row r="34" customFormat="false" ht="15" hidden="false" customHeight="false" outlineLevel="0" collapsed="false">
      <c r="Q34" s="1" t="s">
        <v>689</v>
      </c>
      <c r="U34" s="55" t="s">
        <v>297</v>
      </c>
      <c r="W34" s="57" t="n">
        <v>0.3</v>
      </c>
      <c r="X34" s="28" t="n">
        <v>2.64</v>
      </c>
      <c r="Y34" s="28" t="n">
        <f aca="false">W34*X34</f>
        <v>0.792</v>
      </c>
    </row>
    <row r="35" customFormat="false" ht="15" hidden="false" customHeight="false" outlineLevel="0" collapsed="false">
      <c r="Q35" s="1" t="s">
        <v>302</v>
      </c>
      <c r="U35" s="55" t="s">
        <v>297</v>
      </c>
      <c r="W35" s="57" t="n">
        <v>0.31</v>
      </c>
      <c r="X35" s="28" t="n">
        <v>5.51</v>
      </c>
      <c r="Y35" s="28" t="n">
        <f aca="false">W35*X35</f>
        <v>1.7081</v>
      </c>
    </row>
    <row r="36" customFormat="false" ht="15" hidden="false" customHeight="false" outlineLevel="0" collapsed="false">
      <c r="Q36" s="1" t="s">
        <v>670</v>
      </c>
      <c r="U36" s="55" t="s">
        <v>306</v>
      </c>
      <c r="W36" s="57" t="n">
        <v>3.5</v>
      </c>
      <c r="X36" s="28" t="n">
        <v>5.8</v>
      </c>
      <c r="Y36" s="28" t="n">
        <f aca="false">W36*X36</f>
        <v>20.3</v>
      </c>
    </row>
    <row r="37" customFormat="false" ht="15" hidden="false" customHeight="false" outlineLevel="0" collapsed="false">
      <c r="U37" s="55"/>
      <c r="W37" s="57"/>
      <c r="X37" s="28"/>
      <c r="Y37" s="86" t="n">
        <f aca="false">SUM(Y34:Y36)</f>
        <v>22.8001</v>
      </c>
    </row>
    <row r="38" customFormat="false" ht="15" hidden="false" customHeight="false" outlineLevel="0" collapsed="false">
      <c r="Q38" s="87" t="s">
        <v>310</v>
      </c>
    </row>
    <row r="39" customFormat="false" ht="15" hidden="false" customHeight="false" outlineLevel="0" collapsed="false">
      <c r="Q39" s="1" t="s">
        <v>311</v>
      </c>
      <c r="U39" s="55" t="s">
        <v>312</v>
      </c>
      <c r="W39" s="57" t="n">
        <v>3</v>
      </c>
      <c r="X39" s="28" t="n">
        <f aca="false">Y32</f>
        <v>23.5062857142857</v>
      </c>
      <c r="Y39" s="28" t="n">
        <f aca="false">W39%*X39</f>
        <v>0.705188571428571</v>
      </c>
    </row>
    <row r="40" customFormat="false" ht="15" hidden="false" customHeight="false" outlineLevel="0" collapsed="false">
      <c r="P40" s="60"/>
      <c r="Q40" s="60"/>
      <c r="R40" s="60"/>
      <c r="S40" s="60"/>
      <c r="T40" s="60"/>
      <c r="U40" s="60"/>
      <c r="V40" s="60"/>
      <c r="W40" s="60"/>
      <c r="X40" s="60"/>
      <c r="Y40" s="89" t="n">
        <f aca="false">SUM(Y39)</f>
        <v>0.705188571428571</v>
      </c>
    </row>
    <row r="42" customFormat="false" ht="15" hidden="false" customHeight="false" outlineLevel="0" collapsed="false">
      <c r="P42" s="82" t="s">
        <v>278</v>
      </c>
      <c r="Q42" s="82"/>
      <c r="R42" s="82" t="s">
        <v>531</v>
      </c>
      <c r="S42" s="82"/>
    </row>
    <row r="43" customFormat="false" ht="15" hidden="false" customHeight="false" outlineLevel="0" collapsed="false">
      <c r="P43" s="82" t="s">
        <v>279</v>
      </c>
      <c r="Q43" s="82" t="s">
        <v>280</v>
      </c>
      <c r="R43" s="84" t="s">
        <v>281</v>
      </c>
      <c r="S43" s="85" t="n">
        <v>250</v>
      </c>
      <c r="T43" s="84" t="s">
        <v>282</v>
      </c>
      <c r="U43" s="85" t="n">
        <f aca="false">S43</f>
        <v>250</v>
      </c>
      <c r="V43" s="82" t="s">
        <v>283</v>
      </c>
      <c r="X43" s="84" t="s">
        <v>134</v>
      </c>
      <c r="Y43" s="86" t="n">
        <f aca="false">Y48+Y52+Y56</f>
        <v>5.5639628445</v>
      </c>
    </row>
    <row r="44" customFormat="false" ht="15" hidden="false" customHeight="false" outlineLevel="0" collapsed="false">
      <c r="E44" s="57"/>
      <c r="P44" s="82" t="s">
        <v>284</v>
      </c>
      <c r="Q44" s="82" t="s">
        <v>285</v>
      </c>
      <c r="U44" s="84" t="s">
        <v>123</v>
      </c>
      <c r="V44" s="84" t="s">
        <v>286</v>
      </c>
      <c r="W44" s="84" t="s">
        <v>287</v>
      </c>
      <c r="X44" s="84" t="s">
        <v>288</v>
      </c>
      <c r="Y44" s="84" t="s">
        <v>289</v>
      </c>
    </row>
    <row r="45" customFormat="false" ht="15" hidden="false" customHeight="false" outlineLevel="0" collapsed="false">
      <c r="E45" s="57"/>
      <c r="Q45" s="87" t="s">
        <v>290</v>
      </c>
    </row>
    <row r="46" customFormat="false" ht="15" hidden="false" customHeight="false" outlineLevel="0" collapsed="false">
      <c r="Q46" s="1" t="s">
        <v>291</v>
      </c>
      <c r="U46" s="55" t="s">
        <v>292</v>
      </c>
      <c r="V46" s="56" t="n">
        <v>1</v>
      </c>
      <c r="W46" s="99" t="n">
        <f aca="false">V46*8/$S$43</f>
        <v>0.032</v>
      </c>
      <c r="X46" s="28" t="n">
        <v>28.94</v>
      </c>
      <c r="Y46" s="28" t="n">
        <f aca="false">W46*X46</f>
        <v>0.92608</v>
      </c>
    </row>
    <row r="47" customFormat="false" ht="15" hidden="false" customHeight="false" outlineLevel="0" collapsed="false">
      <c r="Q47" s="1" t="s">
        <v>680</v>
      </c>
      <c r="U47" s="55" t="s">
        <v>292</v>
      </c>
      <c r="V47" s="56" t="n">
        <v>1</v>
      </c>
      <c r="W47" s="99" t="n">
        <f aca="false">V47*8/$S$43</f>
        <v>0.032</v>
      </c>
      <c r="X47" s="28" t="n">
        <v>23.6</v>
      </c>
      <c r="Y47" s="28" t="n">
        <f aca="false">W47*X47</f>
        <v>0.7552</v>
      </c>
    </row>
    <row r="48" customFormat="false" ht="15" hidden="false" customHeight="false" outlineLevel="0" collapsed="false">
      <c r="U48" s="55"/>
      <c r="V48" s="56"/>
      <c r="Y48" s="124" t="n">
        <f aca="false">SUM(Y46:Y47)</f>
        <v>1.68128</v>
      </c>
    </row>
    <row r="49" customFormat="false" ht="15" hidden="false" customHeight="false" outlineLevel="0" collapsed="false">
      <c r="Q49" s="125" t="s">
        <v>295</v>
      </c>
      <c r="U49" s="55"/>
      <c r="V49" s="56"/>
      <c r="W49" s="99"/>
    </row>
    <row r="50" customFormat="false" ht="15" hidden="false" customHeight="false" outlineLevel="0" collapsed="false">
      <c r="Q50" s="1" t="s">
        <v>296</v>
      </c>
      <c r="U50" s="55" t="s">
        <v>297</v>
      </c>
      <c r="V50" s="56"/>
      <c r="W50" s="99" t="n">
        <v>0.03</v>
      </c>
      <c r="X50" s="28" t="n">
        <v>2.64</v>
      </c>
      <c r="Y50" s="28" t="n">
        <f aca="false">W50*X50</f>
        <v>0.0792</v>
      </c>
    </row>
    <row r="51" customFormat="false" ht="15" hidden="false" customHeight="false" outlineLevel="0" collapsed="false">
      <c r="Q51" s="1" t="s">
        <v>681</v>
      </c>
      <c r="U51" s="55" t="s">
        <v>297</v>
      </c>
      <c r="V51" s="56"/>
      <c r="W51" s="99" t="n">
        <v>1.05</v>
      </c>
      <c r="X51" s="28" t="n">
        <f aca="false">1012.71*3.379/1000</f>
        <v>3.42194709</v>
      </c>
      <c r="Y51" s="28" t="n">
        <f aca="false">W51*X51</f>
        <v>3.5930444445</v>
      </c>
    </row>
    <row r="52" customFormat="false" ht="15" hidden="false" customHeight="false" outlineLevel="0" collapsed="false">
      <c r="U52" s="55"/>
      <c r="V52" s="56"/>
      <c r="Y52" s="124" t="n">
        <f aca="false">SUM(Y50:Y51)</f>
        <v>3.6722444445</v>
      </c>
    </row>
    <row r="53" customFormat="false" ht="15" hidden="false" customHeight="false" outlineLevel="0" collapsed="false">
      <c r="Q53" s="125" t="s">
        <v>318</v>
      </c>
      <c r="U53" s="55"/>
      <c r="V53" s="56"/>
    </row>
    <row r="54" customFormat="false" ht="15" hidden="false" customHeight="false" outlineLevel="0" collapsed="false">
      <c r="Q54" s="1" t="s">
        <v>311</v>
      </c>
      <c r="U54" s="55" t="s">
        <v>312</v>
      </c>
      <c r="W54" s="57" t="n">
        <v>3</v>
      </c>
      <c r="X54" s="28" t="n">
        <f aca="false">Y48</f>
        <v>1.68128</v>
      </c>
      <c r="Y54" s="28" t="n">
        <f aca="false">W54%*X54</f>
        <v>0.0504384</v>
      </c>
    </row>
    <row r="55" customFormat="false" ht="15" hidden="false" customHeight="false" outlineLevel="0" collapsed="false">
      <c r="Q55" s="1" t="s">
        <v>682</v>
      </c>
      <c r="U55" s="55" t="s">
        <v>292</v>
      </c>
      <c r="V55" s="56" t="n">
        <v>1</v>
      </c>
      <c r="W55" s="99" t="n">
        <f aca="false">V55*8/$S$43</f>
        <v>0.032</v>
      </c>
      <c r="X55" s="46" t="n">
        <v>5</v>
      </c>
      <c r="Y55" s="28" t="n">
        <f aca="false">W55*X55</f>
        <v>0.16</v>
      </c>
    </row>
    <row r="56" customFormat="false" ht="15" hidden="false" customHeight="false" outlineLevel="0" collapsed="false">
      <c r="P56" s="60"/>
      <c r="Q56" s="60"/>
      <c r="R56" s="60"/>
      <c r="S56" s="60"/>
      <c r="T56" s="60"/>
      <c r="U56" s="60"/>
      <c r="V56" s="60"/>
      <c r="W56" s="60"/>
      <c r="X56" s="60"/>
      <c r="Y56" s="126" t="n">
        <f aca="false">SUM(Y54:Y55)</f>
        <v>0.2104384</v>
      </c>
    </row>
    <row r="60" customFormat="false" ht="15" hidden="false" customHeight="false" outlineLevel="0" collapsed="false">
      <c r="P60" s="82" t="s">
        <v>278</v>
      </c>
      <c r="Q60" s="82"/>
      <c r="R60" s="82" t="s">
        <v>693</v>
      </c>
      <c r="S60" s="82"/>
    </row>
    <row r="61" customFormat="false" ht="15" hidden="false" customHeight="false" outlineLevel="0" collapsed="false">
      <c r="P61" s="82" t="s">
        <v>279</v>
      </c>
      <c r="Q61" s="82" t="s">
        <v>417</v>
      </c>
      <c r="R61" s="84" t="s">
        <v>281</v>
      </c>
      <c r="S61" s="85" t="n">
        <v>25</v>
      </c>
      <c r="T61" s="84" t="s">
        <v>282</v>
      </c>
      <c r="U61" s="85" t="n">
        <f aca="false">S61</f>
        <v>25</v>
      </c>
      <c r="V61" s="82" t="s">
        <v>283</v>
      </c>
      <c r="X61" s="84" t="s">
        <v>204</v>
      </c>
      <c r="Y61" s="86" t="n">
        <f aca="false">Y67+Y74+Y80</f>
        <v>349.618832</v>
      </c>
    </row>
    <row r="62" customFormat="false" ht="15" hidden="false" customHeight="false" outlineLevel="0" collapsed="false">
      <c r="P62" s="82" t="s">
        <v>284</v>
      </c>
      <c r="Q62" s="82" t="s">
        <v>285</v>
      </c>
      <c r="U62" s="84" t="s">
        <v>123</v>
      </c>
      <c r="V62" s="84" t="s">
        <v>286</v>
      </c>
      <c r="W62" s="84" t="s">
        <v>287</v>
      </c>
      <c r="X62" s="84" t="s">
        <v>288</v>
      </c>
      <c r="Y62" s="84" t="s">
        <v>289</v>
      </c>
    </row>
    <row r="63" customFormat="false" ht="15" hidden="false" customHeight="false" outlineLevel="0" collapsed="false">
      <c r="Q63" s="87" t="s">
        <v>290</v>
      </c>
    </row>
    <row r="64" customFormat="false" ht="15" hidden="false" customHeight="false" outlineLevel="0" collapsed="false">
      <c r="Q64" s="1" t="s">
        <v>291</v>
      </c>
      <c r="U64" s="55" t="s">
        <v>292</v>
      </c>
      <c r="V64" s="56" t="n">
        <v>2</v>
      </c>
      <c r="W64" s="57" t="n">
        <f aca="false">V64*8/$S$61</f>
        <v>0.64</v>
      </c>
      <c r="X64" s="28" t="n">
        <v>28.94</v>
      </c>
      <c r="Y64" s="28" t="n">
        <f aca="false">W64*X64</f>
        <v>18.5216</v>
      </c>
    </row>
    <row r="65" customFormat="false" ht="15" hidden="false" customHeight="false" outlineLevel="0" collapsed="false">
      <c r="Q65" s="1" t="s">
        <v>293</v>
      </c>
      <c r="U65" s="55" t="s">
        <v>292</v>
      </c>
      <c r="V65" s="56" t="n">
        <v>1</v>
      </c>
      <c r="W65" s="57" t="n">
        <f aca="false">V65*8/$S$61</f>
        <v>0.32</v>
      </c>
      <c r="X65" s="28" t="n">
        <v>23.6</v>
      </c>
      <c r="Y65" s="28" t="n">
        <f aca="false">W65*X65</f>
        <v>7.552</v>
      </c>
    </row>
    <row r="66" customFormat="false" ht="15" hidden="false" customHeight="false" outlineLevel="0" collapsed="false">
      <c r="Q66" s="1" t="s">
        <v>294</v>
      </c>
      <c r="U66" s="55" t="s">
        <v>292</v>
      </c>
      <c r="V66" s="56" t="n">
        <v>4</v>
      </c>
      <c r="W66" s="57" t="n">
        <f aca="false">V66*8/$S$61</f>
        <v>1.28</v>
      </c>
      <c r="X66" s="28" t="n">
        <v>21.36</v>
      </c>
      <c r="Y66" s="28" t="n">
        <f aca="false">W66*X66</f>
        <v>27.3408</v>
      </c>
    </row>
    <row r="67" customFormat="false" ht="15" hidden="false" customHeight="false" outlineLevel="0" collapsed="false">
      <c r="U67" s="55"/>
      <c r="V67" s="56"/>
      <c r="W67" s="57"/>
      <c r="Y67" s="86" t="n">
        <f aca="false">SUM(Y64:Y66)</f>
        <v>53.4144</v>
      </c>
    </row>
    <row r="68" customFormat="false" ht="15" hidden="false" customHeight="false" outlineLevel="0" collapsed="false">
      <c r="Q68" s="87" t="s">
        <v>654</v>
      </c>
      <c r="U68" s="55"/>
      <c r="V68" s="56"/>
      <c r="W68" s="57"/>
      <c r="Y68" s="28"/>
    </row>
    <row r="69" customFormat="false" ht="15" hidden="false" customHeight="false" outlineLevel="0" collapsed="false">
      <c r="Q69" s="1" t="s">
        <v>673</v>
      </c>
      <c r="U69" s="55" t="s">
        <v>204</v>
      </c>
      <c r="W69" s="57" t="n">
        <v>0.85</v>
      </c>
      <c r="X69" s="28" t="n">
        <v>55.08</v>
      </c>
      <c r="Y69" s="28" t="n">
        <f aca="false">W69*X69</f>
        <v>46.818</v>
      </c>
    </row>
    <row r="70" customFormat="false" ht="15" hidden="false" customHeight="false" outlineLevel="0" collapsed="false">
      <c r="Q70" s="1" t="s">
        <v>674</v>
      </c>
      <c r="U70" s="55" t="s">
        <v>204</v>
      </c>
      <c r="W70" s="57" t="n">
        <v>0.42</v>
      </c>
      <c r="X70" s="28" t="n">
        <v>47</v>
      </c>
      <c r="Y70" s="28" t="n">
        <f aca="false">W70*X70</f>
        <v>19.74</v>
      </c>
    </row>
    <row r="71" customFormat="false" ht="15" hidden="false" customHeight="false" outlineLevel="0" collapsed="false">
      <c r="Q71" s="1" t="s">
        <v>307</v>
      </c>
      <c r="U71" s="55" t="s">
        <v>308</v>
      </c>
      <c r="W71" s="57" t="n">
        <v>8.5</v>
      </c>
      <c r="X71" s="28" t="n">
        <v>24.52</v>
      </c>
      <c r="Y71" s="28" t="n">
        <f aca="false">W71*X71</f>
        <v>208.42</v>
      </c>
    </row>
    <row r="72" customFormat="false" ht="15" hidden="false" customHeight="false" outlineLevel="0" collapsed="false">
      <c r="Q72" s="1" t="s">
        <v>656</v>
      </c>
      <c r="U72" s="55" t="s">
        <v>204</v>
      </c>
      <c r="W72" s="57" t="n">
        <v>0.18</v>
      </c>
      <c r="X72" s="1" t="n">
        <v>6.14</v>
      </c>
      <c r="Y72" s="28" t="n">
        <f aca="false">W72*X72</f>
        <v>1.1052</v>
      </c>
    </row>
    <row r="73" customFormat="false" ht="15" hidden="false" customHeight="false" outlineLevel="0" collapsed="false">
      <c r="Q73" s="1" t="s">
        <v>666</v>
      </c>
      <c r="U73" s="55" t="s">
        <v>440</v>
      </c>
      <c r="W73" s="57" t="n">
        <v>0.2</v>
      </c>
      <c r="X73" s="1" t="n">
        <v>13.93</v>
      </c>
      <c r="Y73" s="28" t="n">
        <f aca="false">W73*X73</f>
        <v>2.786</v>
      </c>
    </row>
    <row r="74" customFormat="false" ht="15" hidden="false" customHeight="false" outlineLevel="0" collapsed="false">
      <c r="U74" s="55"/>
      <c r="W74" s="57"/>
      <c r="X74" s="28"/>
      <c r="Y74" s="86" t="n">
        <f aca="false">SUM(Y69:Y73)</f>
        <v>278.8692</v>
      </c>
    </row>
    <row r="75" customFormat="false" ht="15" hidden="false" customHeight="false" outlineLevel="0" collapsed="false">
      <c r="Q75" s="87" t="s">
        <v>310</v>
      </c>
    </row>
    <row r="76" customFormat="false" ht="15" hidden="false" customHeight="false" outlineLevel="0" collapsed="false">
      <c r="Q76" s="1" t="s">
        <v>311</v>
      </c>
      <c r="U76" s="55" t="s">
        <v>312</v>
      </c>
      <c r="W76" s="57" t="n">
        <v>3</v>
      </c>
      <c r="X76" s="28" t="n">
        <f aca="false">Y67</f>
        <v>53.4144</v>
      </c>
      <c r="Y76" s="28" t="n">
        <f aca="false">W76%*X76</f>
        <v>1.602432</v>
      </c>
    </row>
    <row r="77" customFormat="false" ht="15" hidden="false" customHeight="false" outlineLevel="0" collapsed="false">
      <c r="Q77" s="1" t="s">
        <v>668</v>
      </c>
      <c r="U77" s="55" t="s">
        <v>338</v>
      </c>
      <c r="V77" s="56" t="n">
        <v>1</v>
      </c>
      <c r="W77" s="57" t="n">
        <f aca="false">V77*8/$S$61</f>
        <v>0.32</v>
      </c>
      <c r="X77" s="28" t="n">
        <v>25.63</v>
      </c>
      <c r="Y77" s="28" t="n">
        <f aca="false">W77*X77</f>
        <v>8.2016</v>
      </c>
    </row>
    <row r="78" customFormat="false" ht="15" hidden="false" customHeight="false" outlineLevel="0" collapsed="false">
      <c r="Q78" s="1" t="s">
        <v>691</v>
      </c>
      <c r="U78" s="55" t="s">
        <v>338</v>
      </c>
      <c r="V78" s="56" t="n">
        <v>1</v>
      </c>
      <c r="W78" s="57" t="n">
        <f aca="false">V78*8/$S$61</f>
        <v>0.32</v>
      </c>
      <c r="X78" s="46" t="n">
        <v>20</v>
      </c>
      <c r="Y78" s="28" t="n">
        <f aca="false">W78*X78</f>
        <v>6.4</v>
      </c>
    </row>
    <row r="79" customFormat="false" ht="15" hidden="false" customHeight="false" outlineLevel="0" collapsed="false">
      <c r="Q79" s="1" t="s">
        <v>676</v>
      </c>
      <c r="U79" s="55" t="s">
        <v>338</v>
      </c>
      <c r="V79" s="56" t="n">
        <v>0.5</v>
      </c>
      <c r="W79" s="57" t="n">
        <f aca="false">V79*8/$S$61</f>
        <v>0.16</v>
      </c>
      <c r="X79" s="1" t="n">
        <v>7.07</v>
      </c>
      <c r="Y79" s="28" t="n">
        <f aca="false">W79*X79</f>
        <v>1.1312</v>
      </c>
    </row>
    <row r="80" customFormat="false" ht="15" hidden="false" customHeight="false" outlineLevel="0" collapsed="false">
      <c r="P80" s="60"/>
      <c r="Q80" s="60"/>
      <c r="R80" s="60"/>
      <c r="S80" s="60"/>
      <c r="T80" s="60"/>
      <c r="U80" s="60"/>
      <c r="V80" s="60"/>
      <c r="W80" s="60"/>
      <c r="X80" s="60"/>
      <c r="Y80" s="89" t="n">
        <f aca="false">SUM(Y76:Y79)</f>
        <v>17.335232</v>
      </c>
    </row>
    <row r="82" customFormat="false" ht="15" hidden="false" customHeight="false" outlineLevel="0" collapsed="false">
      <c r="P82" s="82" t="s">
        <v>278</v>
      </c>
      <c r="Q82" s="82"/>
      <c r="R82" s="82" t="s">
        <v>553</v>
      </c>
      <c r="S82" s="82"/>
    </row>
    <row r="83" customFormat="false" ht="15" hidden="false" customHeight="false" outlineLevel="0" collapsed="false">
      <c r="P83" s="82" t="s">
        <v>279</v>
      </c>
      <c r="Q83" s="82" t="s">
        <v>280</v>
      </c>
      <c r="R83" s="84" t="s">
        <v>281</v>
      </c>
      <c r="S83" s="85" t="n">
        <v>35</v>
      </c>
      <c r="T83" s="84" t="s">
        <v>282</v>
      </c>
      <c r="U83" s="85" t="n">
        <f aca="false">S83</f>
        <v>35</v>
      </c>
      <c r="V83" s="82" t="s">
        <v>283</v>
      </c>
      <c r="X83" s="84" t="s">
        <v>134</v>
      </c>
      <c r="Y83" s="86" t="n">
        <f aca="false">Y88+Y93+Y96</f>
        <v>50.7905142857143</v>
      </c>
    </row>
    <row r="84" customFormat="false" ht="15" hidden="false" customHeight="false" outlineLevel="0" collapsed="false">
      <c r="P84" s="82" t="s">
        <v>284</v>
      </c>
      <c r="Q84" s="82" t="s">
        <v>285</v>
      </c>
      <c r="U84" s="84" t="s">
        <v>123</v>
      </c>
      <c r="V84" s="84" t="s">
        <v>286</v>
      </c>
      <c r="W84" s="84" t="s">
        <v>287</v>
      </c>
      <c r="X84" s="84" t="s">
        <v>288</v>
      </c>
      <c r="Y84" s="84" t="s">
        <v>289</v>
      </c>
    </row>
    <row r="85" customFormat="false" ht="15" hidden="false" customHeight="false" outlineLevel="0" collapsed="false">
      <c r="Q85" s="87" t="s">
        <v>290</v>
      </c>
    </row>
    <row r="86" customFormat="false" ht="15" hidden="false" customHeight="false" outlineLevel="0" collapsed="false">
      <c r="Q86" s="1" t="s">
        <v>291</v>
      </c>
      <c r="U86" s="55" t="s">
        <v>292</v>
      </c>
      <c r="V86" s="56" t="n">
        <v>2</v>
      </c>
      <c r="W86" s="57" t="n">
        <f aca="false">V86*8/$S$83</f>
        <v>0.457142857142857</v>
      </c>
      <c r="X86" s="28" t="n">
        <v>28.94</v>
      </c>
      <c r="Y86" s="28" t="n">
        <f aca="false">W86*X86</f>
        <v>13.2297142857143</v>
      </c>
    </row>
    <row r="87" customFormat="false" ht="15" hidden="false" customHeight="false" outlineLevel="0" collapsed="false">
      <c r="Q87" s="1" t="s">
        <v>294</v>
      </c>
      <c r="U87" s="55" t="s">
        <v>292</v>
      </c>
      <c r="V87" s="56" t="n">
        <v>2</v>
      </c>
      <c r="W87" s="57" t="n">
        <f aca="false">V87*8/$S$83</f>
        <v>0.457142857142857</v>
      </c>
      <c r="X87" s="28" t="n">
        <v>21.36</v>
      </c>
      <c r="Y87" s="28" t="n">
        <f aca="false">W87*X87</f>
        <v>9.76457142857143</v>
      </c>
    </row>
    <row r="88" customFormat="false" ht="15" hidden="false" customHeight="false" outlineLevel="0" collapsed="false">
      <c r="U88" s="55"/>
      <c r="V88" s="56"/>
      <c r="W88" s="57"/>
      <c r="X88" s="28"/>
      <c r="Y88" s="86" t="n">
        <f aca="false">SUM(Y86:Y87)</f>
        <v>22.9942857142857</v>
      </c>
    </row>
    <row r="89" customFormat="false" ht="15" hidden="false" customHeight="false" outlineLevel="0" collapsed="false">
      <c r="Q89" s="87" t="s">
        <v>654</v>
      </c>
      <c r="U89" s="55"/>
      <c r="V89" s="56"/>
      <c r="W89" s="57"/>
      <c r="Y89" s="28"/>
    </row>
    <row r="90" customFormat="false" ht="15" hidden="false" customHeight="false" outlineLevel="0" collapsed="false">
      <c r="Q90" s="1" t="s">
        <v>689</v>
      </c>
      <c r="U90" s="55" t="s">
        <v>297</v>
      </c>
      <c r="W90" s="57" t="n">
        <v>0.1</v>
      </c>
      <c r="X90" s="28" t="n">
        <v>2.64</v>
      </c>
      <c r="Y90" s="28" t="n">
        <f aca="false">W90*X90</f>
        <v>0.264</v>
      </c>
    </row>
    <row r="91" customFormat="false" ht="15" hidden="false" customHeight="false" outlineLevel="0" collapsed="false">
      <c r="Q91" s="1" t="s">
        <v>302</v>
      </c>
      <c r="U91" s="55" t="s">
        <v>297</v>
      </c>
      <c r="W91" s="57" t="n">
        <v>0.24</v>
      </c>
      <c r="X91" s="28" t="n">
        <v>5.51</v>
      </c>
      <c r="Y91" s="28" t="n">
        <f aca="false">W91*X91</f>
        <v>1.3224</v>
      </c>
    </row>
    <row r="92" customFormat="false" ht="15" hidden="false" customHeight="false" outlineLevel="0" collapsed="false">
      <c r="Q92" s="1" t="s">
        <v>670</v>
      </c>
      <c r="U92" s="55" t="s">
        <v>306</v>
      </c>
      <c r="W92" s="57" t="n">
        <v>4.4</v>
      </c>
      <c r="X92" s="28" t="n">
        <v>5.8</v>
      </c>
      <c r="Y92" s="28" t="n">
        <f aca="false">W92*X92</f>
        <v>25.52</v>
      </c>
    </row>
    <row r="93" customFormat="false" ht="15" hidden="false" customHeight="false" outlineLevel="0" collapsed="false">
      <c r="U93" s="55"/>
      <c r="W93" s="57"/>
      <c r="X93" s="28"/>
      <c r="Y93" s="86" t="n">
        <f aca="false">SUM(Y90:Y92)</f>
        <v>27.1064</v>
      </c>
    </row>
    <row r="94" customFormat="false" ht="15" hidden="false" customHeight="false" outlineLevel="0" collapsed="false">
      <c r="Q94" s="87" t="s">
        <v>310</v>
      </c>
    </row>
    <row r="95" customFormat="false" ht="15" hidden="false" customHeight="false" outlineLevel="0" collapsed="false">
      <c r="Q95" s="1" t="s">
        <v>311</v>
      </c>
      <c r="U95" s="55" t="s">
        <v>312</v>
      </c>
      <c r="W95" s="57" t="n">
        <v>3</v>
      </c>
      <c r="X95" s="28" t="n">
        <f aca="false">Y88</f>
        <v>22.9942857142857</v>
      </c>
      <c r="Y95" s="28" t="n">
        <f aca="false">W95%*X95</f>
        <v>0.689828571428571</v>
      </c>
    </row>
    <row r="96" customFormat="false" ht="15" hidden="false" customHeight="false" outlineLevel="0" collapsed="false">
      <c r="P96" s="60"/>
      <c r="Q96" s="60"/>
      <c r="R96" s="60"/>
      <c r="S96" s="60"/>
      <c r="T96" s="60"/>
      <c r="U96" s="60"/>
      <c r="V96" s="60"/>
      <c r="W96" s="60"/>
      <c r="X96" s="60"/>
      <c r="Y96" s="89" t="n">
        <f aca="false">SUM(Y95)</f>
        <v>0.689828571428571</v>
      </c>
    </row>
    <row r="98" customFormat="false" ht="15" hidden="false" customHeight="false" outlineLevel="0" collapsed="false">
      <c r="P98" s="82" t="s">
        <v>278</v>
      </c>
      <c r="Q98" s="82"/>
      <c r="R98" s="82" t="s">
        <v>694</v>
      </c>
      <c r="S98" s="82"/>
    </row>
    <row r="99" customFormat="false" ht="15" hidden="false" customHeight="false" outlineLevel="0" collapsed="false">
      <c r="P99" s="82" t="s">
        <v>279</v>
      </c>
      <c r="Q99" s="82" t="s">
        <v>679</v>
      </c>
      <c r="R99" s="84" t="s">
        <v>281</v>
      </c>
      <c r="S99" s="85" t="n">
        <v>250</v>
      </c>
      <c r="T99" s="84" t="s">
        <v>282</v>
      </c>
      <c r="U99" s="85" t="n">
        <f aca="false">S99</f>
        <v>250</v>
      </c>
      <c r="V99" s="82" t="s">
        <v>283</v>
      </c>
      <c r="X99" s="84" t="s">
        <v>297</v>
      </c>
      <c r="Y99" s="86" t="n">
        <f aca="false">Y104+Y108+Y112</f>
        <v>5.5639628445</v>
      </c>
    </row>
    <row r="100" customFormat="false" ht="15" hidden="false" customHeight="false" outlineLevel="0" collapsed="false">
      <c r="P100" s="82" t="s">
        <v>284</v>
      </c>
      <c r="Q100" s="82" t="s">
        <v>285</v>
      </c>
      <c r="U100" s="84" t="s">
        <v>123</v>
      </c>
      <c r="V100" s="84" t="s">
        <v>286</v>
      </c>
      <c r="W100" s="84" t="s">
        <v>287</v>
      </c>
      <c r="X100" s="84" t="s">
        <v>288</v>
      </c>
      <c r="Y100" s="84" t="s">
        <v>289</v>
      </c>
    </row>
    <row r="101" customFormat="false" ht="15" hidden="false" customHeight="false" outlineLevel="0" collapsed="false">
      <c r="Q101" s="87" t="s">
        <v>290</v>
      </c>
      <c r="AE101" s="55"/>
      <c r="AG101" s="57"/>
      <c r="AH101" s="28"/>
    </row>
    <row r="102" customFormat="false" ht="15" hidden="false" customHeight="false" outlineLevel="0" collapsed="false">
      <c r="Q102" s="1" t="s">
        <v>291</v>
      </c>
      <c r="U102" s="55" t="s">
        <v>292</v>
      </c>
      <c r="V102" s="56" t="n">
        <v>1</v>
      </c>
      <c r="W102" s="99" t="n">
        <f aca="false">V102*8/$S$99</f>
        <v>0.032</v>
      </c>
      <c r="X102" s="28" t="n">
        <v>28.94</v>
      </c>
      <c r="Y102" s="28" t="n">
        <f aca="false">W102*X102</f>
        <v>0.92608</v>
      </c>
      <c r="AE102" s="55"/>
      <c r="AG102" s="57"/>
      <c r="AH102" s="28"/>
    </row>
    <row r="103" customFormat="false" ht="15" hidden="false" customHeight="false" outlineLevel="0" collapsed="false">
      <c r="Q103" s="1" t="s">
        <v>680</v>
      </c>
      <c r="U103" s="55" t="s">
        <v>292</v>
      </c>
      <c r="V103" s="56" t="n">
        <v>1</v>
      </c>
      <c r="W103" s="99" t="n">
        <f aca="false">V103*8/$S$99</f>
        <v>0.032</v>
      </c>
      <c r="X103" s="28" t="n">
        <v>23.6</v>
      </c>
      <c r="Y103" s="28" t="n">
        <f aca="false">W103*X103</f>
        <v>0.7552</v>
      </c>
      <c r="AE103" s="55"/>
      <c r="AG103" s="57"/>
      <c r="AH103" s="28"/>
    </row>
    <row r="104" customFormat="false" ht="15" hidden="false" customHeight="false" outlineLevel="0" collapsed="false">
      <c r="U104" s="55"/>
      <c r="V104" s="56"/>
      <c r="Y104" s="124" t="n">
        <f aca="false">SUM(Y102:Y103)</f>
        <v>1.68128</v>
      </c>
      <c r="AE104" s="55"/>
      <c r="AG104" s="57"/>
    </row>
    <row r="105" customFormat="false" ht="15" hidden="false" customHeight="false" outlineLevel="0" collapsed="false">
      <c r="Q105" s="125" t="s">
        <v>295</v>
      </c>
      <c r="U105" s="55"/>
      <c r="V105" s="56"/>
      <c r="W105" s="99"/>
      <c r="AE105" s="55"/>
      <c r="AG105" s="57"/>
    </row>
    <row r="106" customFormat="false" ht="15" hidden="false" customHeight="false" outlineLevel="0" collapsed="false">
      <c r="Q106" s="1" t="s">
        <v>296</v>
      </c>
      <c r="U106" s="55" t="s">
        <v>297</v>
      </c>
      <c r="V106" s="56"/>
      <c r="W106" s="99" t="n">
        <v>0.03</v>
      </c>
      <c r="X106" s="28" t="n">
        <v>2.64</v>
      </c>
      <c r="Y106" s="28" t="n">
        <f aca="false">W106*X106</f>
        <v>0.0792</v>
      </c>
      <c r="AE106" s="55"/>
      <c r="AG106" s="57"/>
    </row>
    <row r="107" customFormat="false" ht="15" hidden="false" customHeight="false" outlineLevel="0" collapsed="false">
      <c r="Q107" s="1" t="s">
        <v>681</v>
      </c>
      <c r="U107" s="55" t="s">
        <v>297</v>
      </c>
      <c r="V107" s="56"/>
      <c r="W107" s="99" t="n">
        <v>1.05</v>
      </c>
      <c r="X107" s="28" t="n">
        <f aca="false">1012.71*3.379/1000</f>
        <v>3.42194709</v>
      </c>
      <c r="Y107" s="28" t="n">
        <f aca="false">W107*X107</f>
        <v>3.5930444445</v>
      </c>
    </row>
    <row r="108" customFormat="false" ht="15" hidden="false" customHeight="false" outlineLevel="0" collapsed="false">
      <c r="U108" s="55"/>
      <c r="V108" s="56"/>
      <c r="Y108" s="124" t="n">
        <f aca="false">SUM(Y106:Y107)</f>
        <v>3.6722444445</v>
      </c>
    </row>
    <row r="109" customFormat="false" ht="15" hidden="false" customHeight="false" outlineLevel="0" collapsed="false">
      <c r="Q109" s="125" t="s">
        <v>318</v>
      </c>
      <c r="U109" s="55"/>
      <c r="V109" s="56"/>
    </row>
    <row r="110" customFormat="false" ht="15" hidden="false" customHeight="false" outlineLevel="0" collapsed="false">
      <c r="Q110" s="1" t="s">
        <v>311</v>
      </c>
      <c r="U110" s="55" t="s">
        <v>312</v>
      </c>
      <c r="W110" s="57" t="n">
        <v>3</v>
      </c>
      <c r="X110" s="28" t="n">
        <f aca="false">Y104</f>
        <v>1.68128</v>
      </c>
      <c r="Y110" s="28" t="n">
        <f aca="false">W110%*X110</f>
        <v>0.0504384</v>
      </c>
    </row>
    <row r="111" customFormat="false" ht="15" hidden="false" customHeight="false" outlineLevel="0" collapsed="false">
      <c r="Q111" s="1" t="s">
        <v>682</v>
      </c>
      <c r="U111" s="55" t="s">
        <v>292</v>
      </c>
      <c r="V111" s="56" t="n">
        <v>1</v>
      </c>
      <c r="W111" s="99" t="n">
        <f aca="false">V111*8/$S$99</f>
        <v>0.032</v>
      </c>
      <c r="X111" s="46" t="n">
        <v>5</v>
      </c>
      <c r="Y111" s="28" t="n">
        <f aca="false">W111*X111</f>
        <v>0.16</v>
      </c>
    </row>
    <row r="112" customFormat="false" ht="15" hidden="false" customHeight="false" outlineLevel="0" collapsed="false">
      <c r="P112" s="60"/>
      <c r="Q112" s="60"/>
      <c r="R112" s="60"/>
      <c r="S112" s="60"/>
      <c r="T112" s="60"/>
      <c r="U112" s="60"/>
      <c r="V112" s="60"/>
      <c r="W112" s="60"/>
      <c r="X112" s="60"/>
      <c r="Y112" s="126" t="n">
        <f aca="false">SUM(Y110:Y111)</f>
        <v>0.2104384</v>
      </c>
    </row>
    <row r="114" customFormat="false" ht="15" hidden="false" customHeight="false" outlineLevel="0" collapsed="false">
      <c r="P114" s="14" t="s">
        <v>278</v>
      </c>
      <c r="Q114" s="14"/>
      <c r="R114" s="212" t="s">
        <v>695</v>
      </c>
      <c r="S114" s="14"/>
    </row>
    <row r="115" customFormat="false" ht="15" hidden="false" customHeight="false" outlineLevel="0" collapsed="false">
      <c r="P115" s="14" t="s">
        <v>279</v>
      </c>
      <c r="Q115" s="14" t="s">
        <v>417</v>
      </c>
      <c r="R115" s="36" t="s">
        <v>281</v>
      </c>
      <c r="S115" s="52" t="n">
        <v>25</v>
      </c>
      <c r="T115" s="36" t="s">
        <v>282</v>
      </c>
      <c r="U115" s="52" t="n">
        <f aca="false">S115</f>
        <v>25</v>
      </c>
      <c r="V115" s="14" t="s">
        <v>283</v>
      </c>
      <c r="X115" s="36" t="s">
        <v>204</v>
      </c>
      <c r="Y115" s="53" t="n">
        <f aca="false">Y123+Y132+Y137</f>
        <v>396.881736</v>
      </c>
    </row>
    <row r="116" customFormat="false" ht="15" hidden="false" customHeight="false" outlineLevel="0" collapsed="false">
      <c r="P116" s="14" t="s">
        <v>284</v>
      </c>
      <c r="Q116" s="14" t="s">
        <v>285</v>
      </c>
      <c r="U116" s="36" t="s">
        <v>123</v>
      </c>
      <c r="V116" s="36" t="s">
        <v>286</v>
      </c>
      <c r="W116" s="36" t="s">
        <v>287</v>
      </c>
      <c r="X116" s="36" t="s">
        <v>288</v>
      </c>
      <c r="Y116" s="36" t="s">
        <v>289</v>
      </c>
    </row>
    <row r="117" customFormat="false" ht="15" hidden="false" customHeight="false" outlineLevel="0" collapsed="false">
      <c r="Q117" s="54" t="s">
        <v>290</v>
      </c>
    </row>
    <row r="118" customFormat="false" ht="15" hidden="false" customHeight="false" outlineLevel="0" collapsed="false">
      <c r="Q118" s="1" t="s">
        <v>651</v>
      </c>
      <c r="U118" s="55" t="s">
        <v>292</v>
      </c>
      <c r="V118" s="56" t="n">
        <v>0.2</v>
      </c>
      <c r="W118" s="57" t="n">
        <f aca="false">V118*8/$S$115</f>
        <v>0.064</v>
      </c>
      <c r="X118" s="213" t="n">
        <v>34.73</v>
      </c>
      <c r="Y118" s="28" t="n">
        <f aca="false">W118*X118</f>
        <v>2.22272</v>
      </c>
    </row>
    <row r="119" customFormat="false" ht="15" hidden="false" customHeight="false" outlineLevel="0" collapsed="false">
      <c r="Q119" s="1" t="s">
        <v>291</v>
      </c>
      <c r="U119" s="55" t="s">
        <v>292</v>
      </c>
      <c r="V119" s="56" t="n">
        <v>2</v>
      </c>
      <c r="W119" s="57" t="n">
        <f aca="false">V119*8/$S$115</f>
        <v>0.64</v>
      </c>
      <c r="X119" s="213" t="n">
        <v>28.94</v>
      </c>
      <c r="Y119" s="28" t="n">
        <f aca="false">W119*X119</f>
        <v>18.5216</v>
      </c>
    </row>
    <row r="120" customFormat="false" ht="15" hidden="false" customHeight="false" outlineLevel="0" collapsed="false">
      <c r="Q120" s="1" t="s">
        <v>680</v>
      </c>
      <c r="U120" s="55" t="s">
        <v>292</v>
      </c>
      <c r="V120" s="56" t="n">
        <v>1</v>
      </c>
      <c r="W120" s="57" t="n">
        <f aca="false">V120*8/$S$115</f>
        <v>0.32</v>
      </c>
      <c r="X120" s="1" t="n">
        <v>23.6</v>
      </c>
      <c r="Y120" s="28" t="n">
        <f aca="false">W120*X120</f>
        <v>7.552</v>
      </c>
    </row>
    <row r="121" customFormat="false" ht="15" hidden="false" customHeight="false" outlineLevel="0" collapsed="false">
      <c r="Q121" s="1" t="s">
        <v>294</v>
      </c>
      <c r="U121" s="55" t="s">
        <v>292</v>
      </c>
      <c r="V121" s="56" t="n">
        <v>7</v>
      </c>
      <c r="W121" s="57" t="n">
        <f aca="false">V121*8/$S$115</f>
        <v>2.24</v>
      </c>
      <c r="X121" s="1" t="n">
        <v>21.36</v>
      </c>
      <c r="Y121" s="28" t="n">
        <f aca="false">W121*X121</f>
        <v>47.8464</v>
      </c>
    </row>
    <row r="122" customFormat="false" ht="15" hidden="false" customHeight="false" outlineLevel="0" collapsed="false">
      <c r="Q122" s="1" t="s">
        <v>664</v>
      </c>
      <c r="U122" s="55" t="s">
        <v>292</v>
      </c>
      <c r="V122" s="56" t="n">
        <v>1</v>
      </c>
      <c r="W122" s="57" t="n">
        <f aca="false">V122*8/$S$115</f>
        <v>0.32</v>
      </c>
      <c r="X122" s="1" t="n">
        <v>29.94</v>
      </c>
      <c r="Y122" s="28" t="n">
        <f aca="false">W122*X122</f>
        <v>9.5808</v>
      </c>
    </row>
    <row r="123" customFormat="false" ht="15" hidden="false" customHeight="false" outlineLevel="0" collapsed="false">
      <c r="U123" s="55"/>
      <c r="Y123" s="53" t="n">
        <f aca="false">SUM(Y118:Y122)</f>
        <v>85.72352</v>
      </c>
    </row>
    <row r="124" customFormat="false" ht="15" hidden="false" customHeight="false" outlineLevel="0" collapsed="false">
      <c r="Q124" s="54" t="s">
        <v>654</v>
      </c>
    </row>
    <row r="125" customFormat="false" ht="15" hidden="false" customHeight="false" outlineLevel="0" collapsed="false">
      <c r="Q125" s="1" t="s">
        <v>696</v>
      </c>
      <c r="U125" s="55" t="s">
        <v>440</v>
      </c>
      <c r="W125" s="57" t="n">
        <v>0.01</v>
      </c>
      <c r="X125" s="28" t="n">
        <v>38.22</v>
      </c>
      <c r="Y125" s="28" t="n">
        <f aca="false">W125*X125</f>
        <v>0.3822</v>
      </c>
    </row>
    <row r="126" customFormat="false" ht="15" hidden="false" customHeight="false" outlineLevel="0" collapsed="false">
      <c r="Q126" s="1" t="s">
        <v>697</v>
      </c>
      <c r="U126" s="55" t="s">
        <v>698</v>
      </c>
      <c r="W126" s="57" t="n">
        <v>0.008</v>
      </c>
      <c r="X126" s="28" t="n">
        <v>12.63</v>
      </c>
      <c r="Y126" s="28" t="n">
        <f aca="false">W126*X126</f>
        <v>0.10104</v>
      </c>
    </row>
    <row r="127" customFormat="false" ht="15" hidden="false" customHeight="false" outlineLevel="0" collapsed="false">
      <c r="Q127" s="1" t="s">
        <v>699</v>
      </c>
      <c r="U127" s="55" t="s">
        <v>440</v>
      </c>
      <c r="W127" s="57" t="n">
        <v>0.12</v>
      </c>
      <c r="X127" s="28" t="n">
        <v>13.93</v>
      </c>
      <c r="Y127" s="28" t="n">
        <f aca="false">W127*X127</f>
        <v>1.6716</v>
      </c>
    </row>
    <row r="128" customFormat="false" ht="15" hidden="false" customHeight="false" outlineLevel="0" collapsed="false">
      <c r="Q128" s="1" t="s">
        <v>700</v>
      </c>
      <c r="U128" s="55" t="s">
        <v>204</v>
      </c>
      <c r="W128" s="57" t="n">
        <v>0.8</v>
      </c>
      <c r="X128" s="28" t="n">
        <v>55.08</v>
      </c>
      <c r="Y128" s="28" t="n">
        <f aca="false">W128*X128</f>
        <v>44.064</v>
      </c>
    </row>
    <row r="129" customFormat="false" ht="15" hidden="false" customHeight="false" outlineLevel="0" collapsed="false">
      <c r="Q129" s="1" t="s">
        <v>701</v>
      </c>
      <c r="U129" s="55" t="s">
        <v>204</v>
      </c>
      <c r="W129" s="57" t="n">
        <v>0.5</v>
      </c>
      <c r="X129" s="28" t="n">
        <v>47</v>
      </c>
      <c r="Y129" s="28" t="n">
        <f aca="false">W129*X129</f>
        <v>23.5</v>
      </c>
    </row>
    <row r="130" customFormat="false" ht="15" hidden="false" customHeight="false" outlineLevel="0" collapsed="false">
      <c r="Q130" s="1" t="s">
        <v>665</v>
      </c>
      <c r="U130" s="55" t="s">
        <v>204</v>
      </c>
      <c r="W130" s="57" t="n">
        <v>0.18</v>
      </c>
      <c r="X130" s="28" t="n">
        <v>6.14</v>
      </c>
      <c r="Y130" s="28" t="n">
        <f aca="false">W130*X130</f>
        <v>1.1052</v>
      </c>
    </row>
    <row r="131" customFormat="false" ht="15" hidden="false" customHeight="false" outlineLevel="0" collapsed="false">
      <c r="Q131" s="1" t="s">
        <v>702</v>
      </c>
      <c r="U131" s="55" t="s">
        <v>308</v>
      </c>
      <c r="W131" s="57" t="n">
        <v>9.2</v>
      </c>
      <c r="X131" s="28" t="n">
        <v>24.52</v>
      </c>
      <c r="Y131" s="28" t="n">
        <f aca="false">W131*X131</f>
        <v>225.584</v>
      </c>
    </row>
    <row r="132" customFormat="false" ht="15" hidden="false" customHeight="false" outlineLevel="0" collapsed="false">
      <c r="U132" s="55"/>
      <c r="W132" s="57"/>
      <c r="X132" s="28"/>
      <c r="Y132" s="53" t="n">
        <f aca="false">SUM(Y125:Y131)</f>
        <v>296.40804</v>
      </c>
    </row>
    <row r="133" customFormat="false" ht="15" hidden="false" customHeight="false" outlineLevel="0" collapsed="false">
      <c r="Q133" s="54" t="s">
        <v>310</v>
      </c>
    </row>
    <row r="134" customFormat="false" ht="15" hidden="false" customHeight="false" outlineLevel="0" collapsed="false">
      <c r="Q134" s="1" t="s">
        <v>703</v>
      </c>
      <c r="U134" s="55" t="s">
        <v>338</v>
      </c>
      <c r="V134" s="56" t="n">
        <v>1</v>
      </c>
      <c r="W134" s="57" t="n">
        <f aca="false">V134*8/$S$115</f>
        <v>0.32</v>
      </c>
      <c r="X134" s="28" t="n">
        <v>25.63</v>
      </c>
      <c r="Y134" s="28" t="n">
        <f aca="false">W134*X134</f>
        <v>8.2016</v>
      </c>
    </row>
    <row r="135" customFormat="false" ht="15" hidden="false" customHeight="false" outlineLevel="0" collapsed="false">
      <c r="Q135" s="1" t="s">
        <v>704</v>
      </c>
      <c r="U135" s="55" t="s">
        <v>338</v>
      </c>
      <c r="V135" s="56" t="n">
        <v>1</v>
      </c>
      <c r="W135" s="57" t="n">
        <f aca="false">V135*8/$S$115</f>
        <v>0.32</v>
      </c>
      <c r="X135" s="28" t="n">
        <v>7.07</v>
      </c>
      <c r="Y135" s="28" t="n">
        <f aca="false">W135*X135</f>
        <v>2.2624</v>
      </c>
    </row>
    <row r="136" customFormat="false" ht="15" hidden="false" customHeight="false" outlineLevel="0" collapsed="false">
      <c r="Q136" s="1" t="s">
        <v>311</v>
      </c>
      <c r="U136" s="55" t="s">
        <v>312</v>
      </c>
      <c r="W136" s="57" t="n">
        <v>5</v>
      </c>
      <c r="X136" s="28" t="n">
        <f aca="false">Y123</f>
        <v>85.72352</v>
      </c>
      <c r="Y136" s="28" t="n">
        <f aca="false">W136%*X136</f>
        <v>4.286176</v>
      </c>
    </row>
    <row r="137" customFormat="false" ht="15" hidden="false" customHeight="false" outlineLevel="0" collapsed="false">
      <c r="P137" s="60"/>
      <c r="Q137" s="60"/>
      <c r="R137" s="60"/>
      <c r="S137" s="60"/>
      <c r="T137" s="60"/>
      <c r="U137" s="60"/>
      <c r="V137" s="60"/>
      <c r="W137" s="60"/>
      <c r="X137" s="80"/>
      <c r="Y137" s="61" t="n">
        <f aca="false">SUM(Y134:Y136)</f>
        <v>14.750176</v>
      </c>
    </row>
    <row r="139" customFormat="false" ht="15" hidden="false" customHeight="false" outlineLevel="0" collapsed="false">
      <c r="P139" s="14" t="s">
        <v>278</v>
      </c>
      <c r="Q139" s="14"/>
      <c r="R139" s="14" t="s">
        <v>705</v>
      </c>
      <c r="S139" s="14"/>
      <c r="AE139" s="55"/>
      <c r="AF139" s="56"/>
      <c r="AG139" s="99"/>
    </row>
    <row r="140" customFormat="false" ht="15" hidden="false" customHeight="false" outlineLevel="0" collapsed="false">
      <c r="P140" s="14" t="s">
        <v>279</v>
      </c>
      <c r="Q140" s="14" t="s">
        <v>280</v>
      </c>
      <c r="R140" s="36" t="s">
        <v>281</v>
      </c>
      <c r="S140" s="52" t="n">
        <v>35</v>
      </c>
      <c r="T140" s="36" t="s">
        <v>282</v>
      </c>
      <c r="U140" s="52" t="n">
        <f aca="false">S140</f>
        <v>35</v>
      </c>
      <c r="V140" s="14" t="s">
        <v>283</v>
      </c>
      <c r="X140" s="36" t="s">
        <v>134</v>
      </c>
      <c r="Y140" s="53" t="n">
        <f aca="false">Y146+Y151+Y154</f>
        <v>43.4766</v>
      </c>
      <c r="AB140" s="28"/>
      <c r="AE140" s="55"/>
      <c r="AF140" s="56"/>
      <c r="AG140" s="99"/>
    </row>
    <row r="141" customFormat="false" ht="15" hidden="false" customHeight="false" outlineLevel="0" collapsed="false">
      <c r="P141" s="14" t="s">
        <v>284</v>
      </c>
      <c r="Q141" s="14" t="s">
        <v>285</v>
      </c>
      <c r="U141" s="36" t="s">
        <v>123</v>
      </c>
      <c r="V141" s="36" t="s">
        <v>286</v>
      </c>
      <c r="W141" s="36" t="s">
        <v>287</v>
      </c>
      <c r="X141" s="36" t="s">
        <v>288</v>
      </c>
      <c r="Y141" s="36" t="s">
        <v>289</v>
      </c>
      <c r="AB141" s="28"/>
    </row>
    <row r="142" customFormat="false" ht="15" hidden="false" customHeight="false" outlineLevel="0" collapsed="false">
      <c r="Q142" s="54" t="s">
        <v>290</v>
      </c>
    </row>
    <row r="143" customFormat="false" ht="15" hidden="false" customHeight="false" outlineLevel="0" collapsed="false">
      <c r="Q143" s="1" t="s">
        <v>291</v>
      </c>
      <c r="U143" s="55" t="s">
        <v>292</v>
      </c>
      <c r="V143" s="56" t="n">
        <v>2</v>
      </c>
      <c r="W143" s="57" t="n">
        <f aca="false">V143*8/$S$140</f>
        <v>0.457142857142857</v>
      </c>
      <c r="X143" s="28" t="n">
        <v>28.94</v>
      </c>
      <c r="Y143" s="28" t="n">
        <f aca="false">W143*X143</f>
        <v>13.2297142857143</v>
      </c>
    </row>
    <row r="144" customFormat="false" ht="15" hidden="false" customHeight="false" outlineLevel="0" collapsed="false">
      <c r="Q144" s="1" t="s">
        <v>680</v>
      </c>
      <c r="U144" s="55" t="s">
        <v>292</v>
      </c>
      <c r="V144" s="56" t="n">
        <v>1</v>
      </c>
      <c r="W144" s="57" t="n">
        <f aca="false">V144*8/$S$140</f>
        <v>0.228571428571429</v>
      </c>
      <c r="X144" s="1" t="n">
        <v>23.6</v>
      </c>
      <c r="Y144" s="28" t="n">
        <f aca="false">W144*X144</f>
        <v>5.39428571428571</v>
      </c>
    </row>
    <row r="145" customFormat="false" ht="15" hidden="false" customHeight="false" outlineLevel="0" collapsed="false">
      <c r="Q145" s="1" t="s">
        <v>294</v>
      </c>
      <c r="U145" s="55" t="s">
        <v>292</v>
      </c>
      <c r="V145" s="56" t="n">
        <v>1</v>
      </c>
      <c r="W145" s="57" t="n">
        <f aca="false">V145*8/$S$140</f>
        <v>0.228571428571429</v>
      </c>
      <c r="X145" s="1" t="n">
        <v>21.36</v>
      </c>
      <c r="Y145" s="28" t="n">
        <f aca="false">W145*X145</f>
        <v>4.88228571428571</v>
      </c>
    </row>
    <row r="146" customFormat="false" ht="15" hidden="false" customHeight="false" outlineLevel="0" collapsed="false">
      <c r="U146" s="55"/>
      <c r="Y146" s="53" t="n">
        <f aca="false">SUM(Y143:Y145)</f>
        <v>23.5062857142857</v>
      </c>
    </row>
    <row r="147" customFormat="false" ht="15" hidden="false" customHeight="false" outlineLevel="0" collapsed="false">
      <c r="Q147" s="54" t="s">
        <v>654</v>
      </c>
    </row>
    <row r="148" customFormat="false" ht="15" hidden="false" customHeight="false" outlineLevel="0" collapsed="false">
      <c r="Q148" s="1" t="s">
        <v>689</v>
      </c>
      <c r="U148" s="55" t="s">
        <v>297</v>
      </c>
      <c r="W148" s="57" t="n">
        <v>0.1</v>
      </c>
      <c r="X148" s="28" t="n">
        <v>2.64</v>
      </c>
      <c r="Y148" s="28" t="n">
        <f aca="false">W148*X148</f>
        <v>0.264</v>
      </c>
    </row>
    <row r="149" customFormat="false" ht="15" hidden="false" customHeight="false" outlineLevel="0" collapsed="false">
      <c r="Q149" s="1" t="s">
        <v>302</v>
      </c>
      <c r="U149" s="55" t="s">
        <v>297</v>
      </c>
      <c r="W149" s="57" t="n">
        <v>0.1</v>
      </c>
      <c r="X149" s="28" t="n">
        <v>5.51</v>
      </c>
      <c r="Y149" s="28" t="n">
        <f aca="false">W149*X149</f>
        <v>0.551</v>
      </c>
    </row>
    <row r="150" customFormat="false" ht="15" hidden="false" customHeight="false" outlineLevel="0" collapsed="false">
      <c r="Q150" s="1" t="s">
        <v>670</v>
      </c>
      <c r="U150" s="55" t="s">
        <v>297</v>
      </c>
      <c r="W150" s="57" t="n">
        <v>3.1</v>
      </c>
      <c r="X150" s="28" t="n">
        <v>5.8</v>
      </c>
      <c r="Y150" s="28" t="n">
        <f aca="false">W150*X150</f>
        <v>17.98</v>
      </c>
    </row>
    <row r="151" customFormat="false" ht="15" hidden="false" customHeight="false" outlineLevel="0" collapsed="false">
      <c r="Y151" s="53" t="n">
        <f aca="false">SUM(Y148:Y150)</f>
        <v>18.795</v>
      </c>
    </row>
    <row r="152" customFormat="false" ht="15" hidden="false" customHeight="false" outlineLevel="0" collapsed="false">
      <c r="Q152" s="54" t="s">
        <v>310</v>
      </c>
    </row>
    <row r="153" customFormat="false" ht="15" hidden="false" customHeight="false" outlineLevel="0" collapsed="false">
      <c r="Q153" s="1" t="s">
        <v>311</v>
      </c>
      <c r="U153" s="55" t="s">
        <v>312</v>
      </c>
      <c r="W153" s="57" t="n">
        <v>5</v>
      </c>
      <c r="X153" s="28" t="n">
        <f aca="false">Y146</f>
        <v>23.5062857142857</v>
      </c>
      <c r="Y153" s="28" t="n">
        <f aca="false">W153%*X153</f>
        <v>1.17531428571429</v>
      </c>
    </row>
    <row r="154" customFormat="false" ht="15" hidden="false" customHeight="false" outlineLevel="0" collapsed="false">
      <c r="P154" s="60"/>
      <c r="Q154" s="60"/>
      <c r="R154" s="60"/>
      <c r="S154" s="60"/>
      <c r="T154" s="60"/>
      <c r="U154" s="60"/>
      <c r="V154" s="60"/>
      <c r="W154" s="60"/>
      <c r="X154" s="60"/>
      <c r="Y154" s="61" t="n">
        <f aca="false">SUM(Y153)</f>
        <v>1.17531428571429</v>
      </c>
    </row>
    <row r="156" customFormat="false" ht="15" hidden="false" customHeight="false" outlineLevel="0" collapsed="false">
      <c r="P156" s="214" t="s">
        <v>278</v>
      </c>
      <c r="Q156" s="214"/>
      <c r="R156" s="82" t="s">
        <v>563</v>
      </c>
    </row>
    <row r="157" customFormat="false" ht="15" hidden="false" customHeight="false" outlineLevel="0" collapsed="false">
      <c r="P157" s="214" t="s">
        <v>279</v>
      </c>
      <c r="Q157" s="214" t="s">
        <v>706</v>
      </c>
      <c r="R157" s="215" t="s">
        <v>281</v>
      </c>
      <c r="S157" s="216" t="n">
        <v>250</v>
      </c>
      <c r="T157" s="215" t="s">
        <v>282</v>
      </c>
      <c r="U157" s="216" t="n">
        <f aca="false">S157</f>
        <v>250</v>
      </c>
      <c r="V157" s="214" t="s">
        <v>283</v>
      </c>
      <c r="X157" s="215" t="s">
        <v>707</v>
      </c>
      <c r="Y157" s="124" t="n">
        <f aca="false">Y163+Y167+Y170</f>
        <v>5.4833634845</v>
      </c>
    </row>
    <row r="158" customFormat="false" ht="15" hidden="false" customHeight="false" outlineLevel="0" collapsed="false">
      <c r="P158" s="214" t="s">
        <v>284</v>
      </c>
      <c r="Q158" s="214" t="s">
        <v>285</v>
      </c>
      <c r="U158" s="215" t="s">
        <v>123</v>
      </c>
      <c r="V158" s="215" t="s">
        <v>286</v>
      </c>
      <c r="W158" s="215" t="s">
        <v>287</v>
      </c>
      <c r="X158" s="215" t="s">
        <v>288</v>
      </c>
      <c r="Y158" s="215" t="s">
        <v>289</v>
      </c>
    </row>
    <row r="159" customFormat="false" ht="15" hidden="false" customHeight="false" outlineLevel="0" collapsed="false">
      <c r="Q159" s="125" t="s">
        <v>290</v>
      </c>
      <c r="V159" s="56"/>
    </row>
    <row r="160" customFormat="false" ht="15" hidden="false" customHeight="false" outlineLevel="0" collapsed="false">
      <c r="Q160" s="1" t="s">
        <v>291</v>
      </c>
      <c r="U160" s="55" t="s">
        <v>292</v>
      </c>
      <c r="V160" s="56" t="n">
        <v>1</v>
      </c>
      <c r="W160" s="99" t="n">
        <f aca="false">V160*8/$S$157</f>
        <v>0.032</v>
      </c>
      <c r="X160" s="213" t="n">
        <v>29.99</v>
      </c>
      <c r="Y160" s="28" t="n">
        <f aca="false">W160*X160</f>
        <v>0.95968</v>
      </c>
    </row>
    <row r="161" customFormat="false" ht="15" hidden="false" customHeight="false" outlineLevel="0" collapsed="false">
      <c r="Q161" s="1" t="s">
        <v>680</v>
      </c>
      <c r="U161" s="55" t="s">
        <v>292</v>
      </c>
      <c r="V161" s="56" t="n">
        <v>1</v>
      </c>
      <c r="W161" s="99" t="n">
        <f aca="false">V161*8/$S$157</f>
        <v>0.032</v>
      </c>
      <c r="X161" s="1" t="n">
        <v>21.36</v>
      </c>
      <c r="Y161" s="28" t="n">
        <f aca="false">W161*X161</f>
        <v>0.68352</v>
      </c>
    </row>
    <row r="162" customFormat="false" ht="15" hidden="false" customHeight="false" outlineLevel="0" collapsed="false">
      <c r="Q162" s="1" t="s">
        <v>651</v>
      </c>
      <c r="U162" s="55" t="s">
        <v>292</v>
      </c>
      <c r="V162" s="56" t="n">
        <v>0.1</v>
      </c>
      <c r="W162" s="99" t="n">
        <f aca="false">V162*8/$S$157</f>
        <v>0.0032</v>
      </c>
      <c r="X162" s="213" t="n">
        <v>35.99</v>
      </c>
      <c r="Y162" s="28" t="n">
        <f aca="false">W162*X162</f>
        <v>0.115168</v>
      </c>
    </row>
    <row r="163" customFormat="false" ht="15" hidden="false" customHeight="false" outlineLevel="0" collapsed="false">
      <c r="U163" s="55"/>
      <c r="V163" s="56"/>
      <c r="Y163" s="124" t="n">
        <f aca="false">SUM(Y160:Y162)</f>
        <v>1.758368</v>
      </c>
    </row>
    <row r="164" customFormat="false" ht="15" hidden="false" customHeight="false" outlineLevel="0" collapsed="false">
      <c r="Q164" s="125" t="s">
        <v>295</v>
      </c>
      <c r="U164" s="55"/>
      <c r="V164" s="56"/>
      <c r="W164" s="99"/>
    </row>
    <row r="165" customFormat="false" ht="15" hidden="false" customHeight="false" outlineLevel="0" collapsed="false">
      <c r="Q165" s="1" t="s">
        <v>296</v>
      </c>
      <c r="U165" s="55" t="s">
        <v>297</v>
      </c>
      <c r="V165" s="56"/>
      <c r="W165" s="99" t="n">
        <v>0.03</v>
      </c>
      <c r="X165" s="28" t="n">
        <v>2.64</v>
      </c>
      <c r="Y165" s="28" t="n">
        <f aca="false">W165*X165</f>
        <v>0.0792</v>
      </c>
    </row>
    <row r="166" customFormat="false" ht="15" hidden="false" customHeight="false" outlineLevel="0" collapsed="false">
      <c r="Q166" s="1" t="s">
        <v>681</v>
      </c>
      <c r="U166" s="55" t="s">
        <v>297</v>
      </c>
      <c r="V166" s="56"/>
      <c r="W166" s="99" t="n">
        <v>1.05</v>
      </c>
      <c r="X166" s="28" t="n">
        <f aca="false">1012.71*3.379/1000</f>
        <v>3.42194709</v>
      </c>
      <c r="Y166" s="28" t="n">
        <f aca="false">W166*X166</f>
        <v>3.5930444445</v>
      </c>
    </row>
    <row r="167" customFormat="false" ht="15" hidden="false" customHeight="false" outlineLevel="0" collapsed="false">
      <c r="U167" s="55"/>
      <c r="V167" s="56"/>
      <c r="Y167" s="124" t="n">
        <f aca="false">SUM(Y165:Y166)</f>
        <v>3.6722444445</v>
      </c>
    </row>
    <row r="168" customFormat="false" ht="15" hidden="false" customHeight="false" outlineLevel="0" collapsed="false">
      <c r="Q168" s="125" t="s">
        <v>318</v>
      </c>
      <c r="U168" s="55"/>
      <c r="V168" s="56"/>
    </row>
    <row r="169" customFormat="false" ht="15" hidden="false" customHeight="false" outlineLevel="0" collapsed="false">
      <c r="Q169" s="1" t="s">
        <v>311</v>
      </c>
      <c r="U169" s="55" t="s">
        <v>312</v>
      </c>
      <c r="W169" s="57" t="n">
        <v>3</v>
      </c>
      <c r="X169" s="28" t="n">
        <f aca="false">Y163</f>
        <v>1.758368</v>
      </c>
      <c r="Y169" s="28" t="n">
        <f aca="false">W169%*X169</f>
        <v>0.05275104</v>
      </c>
    </row>
    <row r="170" customFormat="false" ht="15" hidden="false" customHeight="false" outlineLevel="0" collapsed="false">
      <c r="P170" s="60"/>
      <c r="Q170" s="60"/>
      <c r="R170" s="60"/>
      <c r="S170" s="60"/>
      <c r="T170" s="60"/>
      <c r="U170" s="60"/>
      <c r="V170" s="60"/>
      <c r="W170" s="60"/>
      <c r="X170" s="60"/>
      <c r="Y170" s="126" t="n">
        <f aca="false">SUM(Y169:Y169)</f>
        <v>0.05275104</v>
      </c>
    </row>
    <row r="172" customFormat="false" ht="15" hidden="false" customHeight="false" outlineLevel="0" collapsed="false">
      <c r="P172" s="214" t="s">
        <v>278</v>
      </c>
      <c r="Q172" s="214"/>
      <c r="R172" s="82" t="s">
        <v>565</v>
      </c>
    </row>
    <row r="173" customFormat="false" ht="15" hidden="false" customHeight="false" outlineLevel="0" collapsed="false">
      <c r="P173" s="214" t="s">
        <v>279</v>
      </c>
      <c r="Q173" s="214" t="s">
        <v>708</v>
      </c>
      <c r="R173" s="215" t="s">
        <v>281</v>
      </c>
      <c r="S173" s="216" t="n">
        <v>1600</v>
      </c>
      <c r="T173" s="215" t="s">
        <v>282</v>
      </c>
      <c r="U173" s="216" t="n">
        <f aca="false">S173</f>
        <v>1600</v>
      </c>
      <c r="V173" s="214" t="s">
        <v>283</v>
      </c>
      <c r="X173" s="215" t="s">
        <v>150</v>
      </c>
      <c r="Y173" s="124" t="n">
        <f aca="false">Y179+Y183+Y186</f>
        <v>2.715605</v>
      </c>
    </row>
    <row r="174" customFormat="false" ht="15" hidden="false" customHeight="false" outlineLevel="0" collapsed="false">
      <c r="P174" s="214" t="s">
        <v>284</v>
      </c>
      <c r="Q174" s="214" t="s">
        <v>285</v>
      </c>
      <c r="U174" s="215" t="s">
        <v>123</v>
      </c>
      <c r="V174" s="215" t="s">
        <v>286</v>
      </c>
      <c r="W174" s="215" t="s">
        <v>287</v>
      </c>
      <c r="X174" s="215" t="s">
        <v>288</v>
      </c>
      <c r="Y174" s="215" t="s">
        <v>289</v>
      </c>
    </row>
    <row r="175" customFormat="false" ht="15" hidden="false" customHeight="false" outlineLevel="0" collapsed="false">
      <c r="Q175" s="125" t="s">
        <v>290</v>
      </c>
      <c r="V175" s="56"/>
    </row>
    <row r="176" customFormat="false" ht="15" hidden="false" customHeight="false" outlineLevel="0" collapsed="false">
      <c r="Q176" s="1" t="s">
        <v>291</v>
      </c>
      <c r="U176" s="55" t="s">
        <v>292</v>
      </c>
      <c r="V176" s="56" t="n">
        <v>1</v>
      </c>
      <c r="W176" s="57" t="n">
        <f aca="false">V176*8/$S$173</f>
        <v>0.005</v>
      </c>
      <c r="X176" s="1" t="n">
        <v>28.94</v>
      </c>
      <c r="Y176" s="28" t="n">
        <f aca="false">W176*X176</f>
        <v>0.1447</v>
      </c>
    </row>
    <row r="177" customFormat="false" ht="15" hidden="false" customHeight="false" outlineLevel="0" collapsed="false">
      <c r="Q177" s="1" t="s">
        <v>680</v>
      </c>
      <c r="U177" s="55" t="s">
        <v>292</v>
      </c>
      <c r="V177" s="56" t="n">
        <v>1</v>
      </c>
      <c r="W177" s="57" t="n">
        <f aca="false">V177*8/$S$173</f>
        <v>0.005</v>
      </c>
      <c r="X177" s="1" t="n">
        <v>23.6</v>
      </c>
      <c r="Y177" s="28" t="n">
        <f aca="false">W177*X177</f>
        <v>0.118</v>
      </c>
    </row>
    <row r="178" customFormat="false" ht="15" hidden="false" customHeight="false" outlineLevel="0" collapsed="false">
      <c r="Q178" s="1" t="s">
        <v>294</v>
      </c>
      <c r="U178" s="55" t="s">
        <v>292</v>
      </c>
      <c r="V178" s="56" t="n">
        <v>6</v>
      </c>
      <c r="W178" s="57" t="n">
        <f aca="false">V178*8/$S$173</f>
        <v>0.03</v>
      </c>
      <c r="X178" s="1" t="n">
        <v>21.36</v>
      </c>
      <c r="Y178" s="28" t="n">
        <f aca="false">W178*X178</f>
        <v>0.6408</v>
      </c>
    </row>
    <row r="179" customFormat="false" ht="15" hidden="false" customHeight="false" outlineLevel="0" collapsed="false">
      <c r="U179" s="55"/>
      <c r="V179" s="56"/>
      <c r="Y179" s="124" t="n">
        <f aca="false">SUM(Y176:Y178)</f>
        <v>0.9035</v>
      </c>
    </row>
    <row r="180" customFormat="false" ht="15" hidden="false" customHeight="false" outlineLevel="0" collapsed="false">
      <c r="Q180" s="125" t="s">
        <v>295</v>
      </c>
      <c r="U180" s="55"/>
      <c r="V180" s="56"/>
      <c r="W180" s="99"/>
    </row>
    <row r="181" customFormat="false" ht="15" hidden="false" customHeight="false" outlineLevel="0" collapsed="false">
      <c r="Q181" s="1" t="s">
        <v>709</v>
      </c>
      <c r="U181" s="55" t="s">
        <v>150</v>
      </c>
      <c r="V181" s="56"/>
      <c r="W181" s="99" t="n">
        <v>1.05</v>
      </c>
      <c r="X181" s="28" t="n">
        <v>1.7</v>
      </c>
      <c r="Y181" s="28" t="n">
        <f aca="false">W181*X181</f>
        <v>1.785</v>
      </c>
    </row>
    <row r="182" customFormat="false" ht="15" hidden="false" customHeight="false" outlineLevel="0" collapsed="false">
      <c r="U182" s="55"/>
      <c r="V182" s="56"/>
      <c r="W182" s="99"/>
      <c r="X182" s="28"/>
      <c r="Y182" s="28"/>
    </row>
    <row r="183" customFormat="false" ht="15" hidden="false" customHeight="false" outlineLevel="0" collapsed="false">
      <c r="U183" s="55"/>
      <c r="V183" s="56"/>
      <c r="Y183" s="124" t="n">
        <f aca="false">SUM(Y181:Y182)</f>
        <v>1.785</v>
      </c>
    </row>
    <row r="184" customFormat="false" ht="15" hidden="false" customHeight="false" outlineLevel="0" collapsed="false">
      <c r="Q184" s="125" t="s">
        <v>318</v>
      </c>
      <c r="U184" s="55"/>
      <c r="V184" s="56"/>
    </row>
    <row r="185" customFormat="false" ht="15" hidden="false" customHeight="false" outlineLevel="0" collapsed="false">
      <c r="Q185" s="1" t="s">
        <v>311</v>
      </c>
      <c r="U185" s="55" t="s">
        <v>312</v>
      </c>
      <c r="W185" s="57" t="n">
        <v>3</v>
      </c>
      <c r="X185" s="28" t="n">
        <f aca="false">Y179</f>
        <v>0.9035</v>
      </c>
      <c r="Y185" s="28" t="n">
        <f aca="false">W185%*X185</f>
        <v>0.027105</v>
      </c>
    </row>
    <row r="186" customFormat="false" ht="15" hidden="false" customHeight="false" outlineLevel="0" collapsed="false">
      <c r="P186" s="60"/>
      <c r="Q186" s="60"/>
      <c r="R186" s="60"/>
      <c r="S186" s="60"/>
      <c r="T186" s="60"/>
      <c r="U186" s="60"/>
      <c r="V186" s="60"/>
      <c r="W186" s="60"/>
      <c r="X186" s="60"/>
      <c r="Y186" s="126" t="n">
        <f aca="false">SUM(Y185:Y185)</f>
        <v>0.027105</v>
      </c>
    </row>
    <row r="188" customFormat="false" ht="15" hidden="false" customHeight="false" outlineLevel="0" collapsed="false">
      <c r="P188" s="82" t="s">
        <v>278</v>
      </c>
      <c r="Q188" s="82"/>
      <c r="R188" s="82" t="s">
        <v>578</v>
      </c>
      <c r="S188" s="82"/>
    </row>
    <row r="189" customFormat="false" ht="15" hidden="false" customHeight="false" outlineLevel="0" collapsed="false">
      <c r="P189" s="82" t="s">
        <v>279</v>
      </c>
      <c r="Q189" s="82" t="s">
        <v>417</v>
      </c>
      <c r="R189" s="84" t="s">
        <v>281</v>
      </c>
      <c r="S189" s="85" t="n">
        <v>15</v>
      </c>
      <c r="T189" s="84" t="s">
        <v>282</v>
      </c>
      <c r="U189" s="85" t="n">
        <f aca="false">S189</f>
        <v>15</v>
      </c>
      <c r="V189" s="82" t="s">
        <v>283</v>
      </c>
      <c r="X189" s="84" t="s">
        <v>204</v>
      </c>
      <c r="Y189" s="86" t="n">
        <f aca="false">Y195+Y202+Y207</f>
        <v>402.684786666667</v>
      </c>
    </row>
    <row r="190" customFormat="false" ht="15" hidden="false" customHeight="false" outlineLevel="0" collapsed="false">
      <c r="P190" s="82" t="s">
        <v>284</v>
      </c>
      <c r="Q190" s="82" t="s">
        <v>285</v>
      </c>
      <c r="U190" s="84" t="s">
        <v>123</v>
      </c>
      <c r="V190" s="84" t="s">
        <v>286</v>
      </c>
      <c r="W190" s="84" t="s">
        <v>287</v>
      </c>
      <c r="X190" s="84" t="s">
        <v>288</v>
      </c>
      <c r="Y190" s="84" t="s">
        <v>289</v>
      </c>
    </row>
    <row r="191" customFormat="false" ht="15" hidden="false" customHeight="false" outlineLevel="0" collapsed="false">
      <c r="Q191" s="87" t="s">
        <v>290</v>
      </c>
    </row>
    <row r="192" customFormat="false" ht="15" hidden="false" customHeight="false" outlineLevel="0" collapsed="false">
      <c r="Q192" s="1" t="s">
        <v>291</v>
      </c>
      <c r="U192" s="55" t="s">
        <v>292</v>
      </c>
      <c r="V192" s="56" t="n">
        <v>1</v>
      </c>
      <c r="W192" s="57" t="n">
        <f aca="false">V192*8/$S$5</f>
        <v>0.533333333333333</v>
      </c>
      <c r="X192" s="28" t="n">
        <v>28.94</v>
      </c>
      <c r="Y192" s="28" t="n">
        <f aca="false">W192*X192</f>
        <v>15.4346666666667</v>
      </c>
    </row>
    <row r="193" customFormat="false" ht="15" hidden="false" customHeight="false" outlineLevel="0" collapsed="false">
      <c r="Q193" s="1" t="s">
        <v>293</v>
      </c>
      <c r="U193" s="55" t="s">
        <v>292</v>
      </c>
      <c r="V193" s="56" t="n">
        <v>2</v>
      </c>
      <c r="W193" s="57" t="n">
        <f aca="false">V193*8/$S$5</f>
        <v>1.06666666666667</v>
      </c>
      <c r="X193" s="28" t="n">
        <v>23.6</v>
      </c>
      <c r="Y193" s="28" t="n">
        <f aca="false">W193*X193</f>
        <v>25.1733333333333</v>
      </c>
    </row>
    <row r="194" customFormat="false" ht="15" hidden="false" customHeight="false" outlineLevel="0" collapsed="false">
      <c r="Q194" s="1" t="s">
        <v>294</v>
      </c>
      <c r="U194" s="55" t="s">
        <v>292</v>
      </c>
      <c r="V194" s="56" t="n">
        <v>4</v>
      </c>
      <c r="W194" s="57" t="n">
        <f aca="false">V194*8/$S$5</f>
        <v>2.13333333333333</v>
      </c>
      <c r="X194" s="28" t="n">
        <v>21.36</v>
      </c>
      <c r="Y194" s="28" t="n">
        <f aca="false">W194*X194</f>
        <v>45.568</v>
      </c>
    </row>
    <row r="195" customFormat="false" ht="15" hidden="false" customHeight="false" outlineLevel="0" collapsed="false">
      <c r="U195" s="55"/>
      <c r="V195" s="56"/>
      <c r="W195" s="57"/>
      <c r="Y195" s="86" t="n">
        <f aca="false">SUM(Y192:Y194)</f>
        <v>86.176</v>
      </c>
    </row>
    <row r="196" customFormat="false" ht="15" hidden="false" customHeight="false" outlineLevel="0" collapsed="false">
      <c r="Q196" s="87" t="s">
        <v>654</v>
      </c>
      <c r="U196" s="55"/>
      <c r="V196" s="56"/>
      <c r="W196" s="57"/>
      <c r="Y196" s="28"/>
    </row>
    <row r="197" customFormat="false" ht="15" hidden="false" customHeight="false" outlineLevel="0" collapsed="false">
      <c r="Q197" s="1" t="s">
        <v>673</v>
      </c>
      <c r="U197" s="55" t="s">
        <v>204</v>
      </c>
      <c r="W197" s="57" t="n">
        <v>0.53</v>
      </c>
      <c r="X197" s="28" t="n">
        <v>55.08</v>
      </c>
      <c r="Y197" s="28" t="n">
        <f aca="false">W197*X197</f>
        <v>29.1924</v>
      </c>
    </row>
    <row r="198" customFormat="false" ht="15" hidden="false" customHeight="false" outlineLevel="0" collapsed="false">
      <c r="Q198" s="1" t="s">
        <v>674</v>
      </c>
      <c r="U198" s="55" t="s">
        <v>204</v>
      </c>
      <c r="W198" s="57" t="n">
        <v>0.52</v>
      </c>
      <c r="X198" s="28" t="n">
        <v>47</v>
      </c>
      <c r="Y198" s="28" t="n">
        <f aca="false">W198*X198</f>
        <v>24.44</v>
      </c>
    </row>
    <row r="199" customFormat="false" ht="15" hidden="false" customHeight="false" outlineLevel="0" collapsed="false">
      <c r="Q199" s="1" t="s">
        <v>307</v>
      </c>
      <c r="U199" s="55" t="s">
        <v>308</v>
      </c>
      <c r="W199" s="57" t="n">
        <v>9.73</v>
      </c>
      <c r="X199" s="28" t="n">
        <v>24.52</v>
      </c>
      <c r="Y199" s="28" t="n">
        <f aca="false">W199*X199</f>
        <v>238.5796</v>
      </c>
    </row>
    <row r="200" customFormat="false" ht="15" hidden="false" customHeight="false" outlineLevel="0" collapsed="false">
      <c r="Q200" s="1" t="s">
        <v>656</v>
      </c>
      <c r="U200" s="55" t="s">
        <v>204</v>
      </c>
      <c r="W200" s="57" t="n">
        <v>0.186</v>
      </c>
      <c r="X200" s="1" t="n">
        <v>6.14</v>
      </c>
      <c r="Y200" s="28" t="n">
        <f aca="false">W200*X200</f>
        <v>1.14204</v>
      </c>
    </row>
    <row r="201" customFormat="false" ht="15" hidden="false" customHeight="false" outlineLevel="0" collapsed="false">
      <c r="Q201" s="1" t="s">
        <v>666</v>
      </c>
      <c r="U201" s="55" t="s">
        <v>440</v>
      </c>
      <c r="W201" s="57" t="n">
        <v>0.36</v>
      </c>
      <c r="X201" s="1" t="n">
        <v>13.93</v>
      </c>
      <c r="Y201" s="28" t="n">
        <f aca="false">W201*X201</f>
        <v>5.0148</v>
      </c>
    </row>
    <row r="202" customFormat="false" ht="15" hidden="false" customHeight="false" outlineLevel="0" collapsed="false">
      <c r="U202" s="55"/>
      <c r="W202" s="57"/>
      <c r="X202" s="28"/>
      <c r="Y202" s="86" t="n">
        <f aca="false">SUM(Y197:Y201)</f>
        <v>298.36884</v>
      </c>
    </row>
    <row r="203" customFormat="false" ht="15" hidden="false" customHeight="false" outlineLevel="0" collapsed="false">
      <c r="Q203" s="87" t="s">
        <v>310</v>
      </c>
    </row>
    <row r="204" customFormat="false" ht="15" hidden="false" customHeight="false" outlineLevel="0" collapsed="false">
      <c r="Q204" s="1" t="s">
        <v>311</v>
      </c>
      <c r="U204" s="55" t="s">
        <v>312</v>
      </c>
      <c r="W204" s="57" t="n">
        <v>3</v>
      </c>
      <c r="X204" s="28" t="n">
        <f aca="false">Y195</f>
        <v>86.176</v>
      </c>
      <c r="Y204" s="28" t="n">
        <f aca="false">W204%*X204</f>
        <v>2.58528</v>
      </c>
    </row>
    <row r="205" customFormat="false" ht="15" hidden="false" customHeight="false" outlineLevel="0" collapsed="false">
      <c r="Q205" s="1" t="s">
        <v>668</v>
      </c>
      <c r="U205" s="55" t="s">
        <v>338</v>
      </c>
      <c r="V205" s="56" t="n">
        <v>1</v>
      </c>
      <c r="W205" s="57" t="n">
        <f aca="false">V205*8/$S$5</f>
        <v>0.533333333333333</v>
      </c>
      <c r="X205" s="28" t="n">
        <v>25.63</v>
      </c>
      <c r="Y205" s="28" t="n">
        <f aca="false">W205*X205</f>
        <v>13.6693333333333</v>
      </c>
    </row>
    <row r="206" customFormat="false" ht="15" hidden="false" customHeight="false" outlineLevel="0" collapsed="false">
      <c r="Q206" s="1" t="s">
        <v>676</v>
      </c>
      <c r="U206" s="55" t="s">
        <v>338</v>
      </c>
      <c r="V206" s="56" t="n">
        <v>0.5</v>
      </c>
      <c r="W206" s="57" t="n">
        <f aca="false">V206*8/$S$5</f>
        <v>0.266666666666667</v>
      </c>
      <c r="X206" s="28" t="n">
        <v>7.07</v>
      </c>
      <c r="Y206" s="28" t="n">
        <f aca="false">W206*X206</f>
        <v>1.88533333333333</v>
      </c>
    </row>
    <row r="207" customFormat="false" ht="15" hidden="false" customHeight="false" outlineLevel="0" collapsed="false">
      <c r="P207" s="60"/>
      <c r="Q207" s="60"/>
      <c r="R207" s="60"/>
      <c r="S207" s="60"/>
      <c r="T207" s="60"/>
      <c r="U207" s="60"/>
      <c r="V207" s="60"/>
      <c r="W207" s="60"/>
      <c r="X207" s="60"/>
      <c r="Y207" s="89" t="n">
        <f aca="false">SUM(Y204:Y206)</f>
        <v>18.1399466666667</v>
      </c>
    </row>
    <row r="209" customFormat="false" ht="15" hidden="false" customHeight="false" outlineLevel="0" collapsed="false">
      <c r="P209" s="82" t="s">
        <v>278</v>
      </c>
      <c r="Q209" s="82"/>
      <c r="R209" s="82" t="s">
        <v>580</v>
      </c>
      <c r="S209" s="82"/>
    </row>
    <row r="210" customFormat="false" ht="15" hidden="false" customHeight="false" outlineLevel="0" collapsed="false">
      <c r="P210" s="82" t="s">
        <v>279</v>
      </c>
      <c r="Q210" s="82" t="s">
        <v>280</v>
      </c>
      <c r="R210" s="84" t="s">
        <v>281</v>
      </c>
      <c r="S210" s="85" t="n">
        <v>35</v>
      </c>
      <c r="T210" s="84" t="s">
        <v>282</v>
      </c>
      <c r="U210" s="85" t="n">
        <f aca="false">S210</f>
        <v>35</v>
      </c>
      <c r="V210" s="82" t="s">
        <v>283</v>
      </c>
      <c r="X210" s="84" t="s">
        <v>134</v>
      </c>
      <c r="Y210" s="86" t="n">
        <f aca="false">Y216+Y221+Y224</f>
        <v>47.5915742857143</v>
      </c>
    </row>
    <row r="211" customFormat="false" ht="15" hidden="false" customHeight="false" outlineLevel="0" collapsed="false">
      <c r="P211" s="82" t="s">
        <v>284</v>
      </c>
      <c r="Q211" s="82" t="s">
        <v>285</v>
      </c>
      <c r="U211" s="84" t="s">
        <v>123</v>
      </c>
      <c r="V211" s="84" t="s">
        <v>286</v>
      </c>
      <c r="W211" s="84" t="s">
        <v>287</v>
      </c>
      <c r="X211" s="84" t="s">
        <v>288</v>
      </c>
      <c r="Y211" s="84" t="s">
        <v>289</v>
      </c>
    </row>
    <row r="212" customFormat="false" ht="15" hidden="false" customHeight="false" outlineLevel="0" collapsed="false">
      <c r="Q212" s="87" t="s">
        <v>290</v>
      </c>
    </row>
    <row r="213" customFormat="false" ht="15" hidden="false" customHeight="false" outlineLevel="0" collapsed="false">
      <c r="Q213" s="1" t="s">
        <v>291</v>
      </c>
      <c r="U213" s="55" t="s">
        <v>292</v>
      </c>
      <c r="V213" s="56" t="n">
        <v>2</v>
      </c>
      <c r="W213" s="57" t="n">
        <f aca="false">V213*8/$S$210</f>
        <v>0.457142857142857</v>
      </c>
      <c r="X213" s="28" t="n">
        <v>28.94</v>
      </c>
      <c r="Y213" s="28" t="n">
        <f aca="false">W213*X213</f>
        <v>13.2297142857143</v>
      </c>
    </row>
    <row r="214" customFormat="false" ht="15" hidden="false" customHeight="false" outlineLevel="0" collapsed="false">
      <c r="Q214" s="1" t="s">
        <v>293</v>
      </c>
      <c r="U214" s="55" t="s">
        <v>292</v>
      </c>
      <c r="V214" s="56" t="n">
        <v>1</v>
      </c>
      <c r="W214" s="57" t="n">
        <f aca="false">V214*8/$S$210</f>
        <v>0.228571428571429</v>
      </c>
      <c r="X214" s="28" t="n">
        <v>23.6</v>
      </c>
      <c r="Y214" s="28" t="n">
        <f aca="false">W214*X214</f>
        <v>5.39428571428571</v>
      </c>
    </row>
    <row r="215" customFormat="false" ht="15" hidden="false" customHeight="false" outlineLevel="0" collapsed="false">
      <c r="Q215" s="1" t="s">
        <v>294</v>
      </c>
      <c r="U215" s="55" t="s">
        <v>292</v>
      </c>
      <c r="V215" s="56" t="n">
        <v>1</v>
      </c>
      <c r="W215" s="57" t="n">
        <f aca="false">V215*8/$S$210</f>
        <v>0.228571428571429</v>
      </c>
      <c r="X215" s="28" t="n">
        <v>21.36</v>
      </c>
      <c r="Y215" s="28" t="n">
        <f aca="false">W215*X215</f>
        <v>4.88228571428571</v>
      </c>
    </row>
    <row r="216" customFormat="false" ht="15" hidden="false" customHeight="false" outlineLevel="0" collapsed="false">
      <c r="U216" s="55"/>
      <c r="V216" s="56"/>
      <c r="W216" s="57"/>
      <c r="Y216" s="86" t="n">
        <f aca="false">SUM(Y213:Y215)</f>
        <v>23.5062857142857</v>
      </c>
    </row>
    <row r="217" customFormat="false" ht="15" hidden="false" customHeight="false" outlineLevel="0" collapsed="false">
      <c r="Q217" s="87" t="s">
        <v>654</v>
      </c>
      <c r="U217" s="55"/>
      <c r="V217" s="56"/>
      <c r="W217" s="57"/>
      <c r="Y217" s="28"/>
    </row>
    <row r="218" customFormat="false" ht="15" hidden="false" customHeight="false" outlineLevel="0" collapsed="false">
      <c r="Q218" s="1" t="s">
        <v>689</v>
      </c>
      <c r="U218" s="55" t="s">
        <v>297</v>
      </c>
      <c r="W218" s="57" t="n">
        <v>0.3</v>
      </c>
      <c r="X218" s="28" t="n">
        <v>2.64</v>
      </c>
      <c r="Y218" s="28" t="n">
        <f aca="false">W218*X218</f>
        <v>0.792</v>
      </c>
    </row>
    <row r="219" customFormat="false" ht="15" hidden="false" customHeight="false" outlineLevel="0" collapsed="false">
      <c r="Q219" s="1" t="s">
        <v>302</v>
      </c>
      <c r="U219" s="55" t="s">
        <v>297</v>
      </c>
      <c r="W219" s="57" t="n">
        <v>0.31</v>
      </c>
      <c r="X219" s="28" t="n">
        <v>5.51</v>
      </c>
      <c r="Y219" s="28" t="n">
        <f aca="false">W219*X219</f>
        <v>1.7081</v>
      </c>
    </row>
    <row r="220" customFormat="false" ht="15" hidden="false" customHeight="false" outlineLevel="0" collapsed="false">
      <c r="Q220" s="1" t="s">
        <v>670</v>
      </c>
      <c r="U220" s="55" t="s">
        <v>306</v>
      </c>
      <c r="W220" s="57" t="n">
        <v>3.6</v>
      </c>
      <c r="X220" s="28" t="n">
        <v>5.8</v>
      </c>
      <c r="Y220" s="28" t="n">
        <f aca="false">W220*X220</f>
        <v>20.88</v>
      </c>
    </row>
    <row r="221" customFormat="false" ht="15" hidden="false" customHeight="false" outlineLevel="0" collapsed="false">
      <c r="U221" s="55"/>
      <c r="W221" s="57"/>
      <c r="X221" s="28"/>
      <c r="Y221" s="86" t="n">
        <f aca="false">SUM(Y218:Y220)</f>
        <v>23.3801</v>
      </c>
    </row>
    <row r="222" customFormat="false" ht="15" hidden="false" customHeight="false" outlineLevel="0" collapsed="false">
      <c r="Q222" s="87" t="s">
        <v>310</v>
      </c>
    </row>
    <row r="223" customFormat="false" ht="15" hidden="false" customHeight="false" outlineLevel="0" collapsed="false">
      <c r="Q223" s="1" t="s">
        <v>311</v>
      </c>
      <c r="U223" s="55" t="s">
        <v>312</v>
      </c>
      <c r="W223" s="57" t="n">
        <v>3</v>
      </c>
      <c r="X223" s="28" t="n">
        <f aca="false">Y216</f>
        <v>23.5062857142857</v>
      </c>
      <c r="Y223" s="28" t="n">
        <f aca="false">W223%*X223</f>
        <v>0.705188571428571</v>
      </c>
    </row>
    <row r="224" customFormat="false" ht="15" hidden="false" customHeight="false" outlineLevel="0" collapsed="false">
      <c r="P224" s="60"/>
      <c r="Q224" s="60"/>
      <c r="R224" s="60"/>
      <c r="S224" s="60"/>
      <c r="T224" s="60"/>
      <c r="U224" s="60"/>
      <c r="V224" s="60"/>
      <c r="W224" s="60"/>
      <c r="X224" s="60"/>
      <c r="Y224" s="89" t="n">
        <f aca="false">SUM(Y223)</f>
        <v>0.705188571428571</v>
      </c>
    </row>
    <row r="226" customFormat="false" ht="15" hidden="false" customHeight="false" outlineLevel="0" collapsed="false">
      <c r="P226" s="82" t="s">
        <v>278</v>
      </c>
      <c r="Q226" s="82"/>
      <c r="R226" s="82" t="s">
        <v>582</v>
      </c>
      <c r="S226" s="82"/>
    </row>
    <row r="227" customFormat="false" ht="15" hidden="false" customHeight="false" outlineLevel="0" collapsed="false">
      <c r="P227" s="82" t="s">
        <v>279</v>
      </c>
      <c r="Q227" s="82" t="s">
        <v>280</v>
      </c>
      <c r="R227" s="84" t="s">
        <v>281</v>
      </c>
      <c r="S227" s="85" t="n">
        <v>250</v>
      </c>
      <c r="T227" s="84" t="s">
        <v>282</v>
      </c>
      <c r="U227" s="85" t="n">
        <f aca="false">S227</f>
        <v>250</v>
      </c>
      <c r="V227" s="82" t="s">
        <v>283</v>
      </c>
      <c r="X227" s="84" t="s">
        <v>134</v>
      </c>
      <c r="Y227" s="86" t="n">
        <f aca="false">Y232+Y236+Y240</f>
        <v>5.5639628445</v>
      </c>
    </row>
    <row r="228" customFormat="false" ht="15" hidden="false" customHeight="false" outlineLevel="0" collapsed="false">
      <c r="P228" s="82" t="s">
        <v>284</v>
      </c>
      <c r="Q228" s="82" t="s">
        <v>285</v>
      </c>
      <c r="U228" s="84" t="s">
        <v>123</v>
      </c>
      <c r="V228" s="84" t="s">
        <v>286</v>
      </c>
      <c r="W228" s="84" t="s">
        <v>287</v>
      </c>
      <c r="X228" s="84" t="s">
        <v>288</v>
      </c>
      <c r="Y228" s="84" t="s">
        <v>289</v>
      </c>
    </row>
    <row r="229" customFormat="false" ht="15" hidden="false" customHeight="false" outlineLevel="0" collapsed="false">
      <c r="Q229" s="87" t="s">
        <v>290</v>
      </c>
    </row>
    <row r="230" customFormat="false" ht="15" hidden="false" customHeight="false" outlineLevel="0" collapsed="false">
      <c r="Q230" s="1" t="s">
        <v>291</v>
      </c>
      <c r="U230" s="55" t="s">
        <v>292</v>
      </c>
      <c r="V230" s="56" t="n">
        <v>1</v>
      </c>
      <c r="W230" s="99" t="n">
        <f aca="false">V230*8/$S$43</f>
        <v>0.032</v>
      </c>
      <c r="X230" s="28" t="n">
        <v>28.94</v>
      </c>
      <c r="Y230" s="28" t="n">
        <f aca="false">W230*X230</f>
        <v>0.92608</v>
      </c>
    </row>
    <row r="231" customFormat="false" ht="15" hidden="false" customHeight="false" outlineLevel="0" collapsed="false">
      <c r="Q231" s="1" t="s">
        <v>680</v>
      </c>
      <c r="U231" s="55" t="s">
        <v>292</v>
      </c>
      <c r="V231" s="56" t="n">
        <v>1</v>
      </c>
      <c r="W231" s="99" t="n">
        <f aca="false">V231*8/$S$43</f>
        <v>0.032</v>
      </c>
      <c r="X231" s="28" t="n">
        <v>23.6</v>
      </c>
      <c r="Y231" s="28" t="n">
        <f aca="false">W231*X231</f>
        <v>0.7552</v>
      </c>
    </row>
    <row r="232" customFormat="false" ht="15" hidden="false" customHeight="false" outlineLevel="0" collapsed="false">
      <c r="U232" s="55"/>
      <c r="V232" s="56"/>
      <c r="Y232" s="86" t="n">
        <f aca="false">SUM(Y230:Y231)</f>
        <v>1.68128</v>
      </c>
    </row>
    <row r="233" customFormat="false" ht="15" hidden="false" customHeight="false" outlineLevel="0" collapsed="false">
      <c r="Q233" s="87" t="s">
        <v>295</v>
      </c>
      <c r="U233" s="55"/>
      <c r="V233" s="56"/>
      <c r="W233" s="99"/>
    </row>
    <row r="234" customFormat="false" ht="15" hidden="false" customHeight="false" outlineLevel="0" collapsed="false">
      <c r="Q234" s="1" t="s">
        <v>296</v>
      </c>
      <c r="U234" s="55" t="s">
        <v>297</v>
      </c>
      <c r="V234" s="56"/>
      <c r="W234" s="99" t="n">
        <v>0.03</v>
      </c>
      <c r="X234" s="28" t="n">
        <v>2.64</v>
      </c>
      <c r="Y234" s="28" t="n">
        <f aca="false">W234*X234</f>
        <v>0.0792</v>
      </c>
    </row>
    <row r="235" customFormat="false" ht="15" hidden="false" customHeight="false" outlineLevel="0" collapsed="false">
      <c r="Q235" s="1" t="s">
        <v>681</v>
      </c>
      <c r="U235" s="55" t="s">
        <v>297</v>
      </c>
      <c r="V235" s="56"/>
      <c r="W235" s="99" t="n">
        <v>1.05</v>
      </c>
      <c r="X235" s="28" t="n">
        <f aca="false">1012.71*3.379/1000</f>
        <v>3.42194709</v>
      </c>
      <c r="Y235" s="28" t="n">
        <f aca="false">W235*X235</f>
        <v>3.5930444445</v>
      </c>
    </row>
    <row r="236" customFormat="false" ht="15" hidden="false" customHeight="false" outlineLevel="0" collapsed="false">
      <c r="U236" s="55"/>
      <c r="V236" s="56"/>
      <c r="Y236" s="86" t="n">
        <f aca="false">SUM(Y234:Y235)</f>
        <v>3.6722444445</v>
      </c>
    </row>
    <row r="237" customFormat="false" ht="15" hidden="false" customHeight="false" outlineLevel="0" collapsed="false">
      <c r="Q237" s="87" t="s">
        <v>318</v>
      </c>
      <c r="U237" s="55"/>
      <c r="V237" s="56"/>
    </row>
    <row r="238" customFormat="false" ht="15" hidden="false" customHeight="false" outlineLevel="0" collapsed="false">
      <c r="Q238" s="1" t="s">
        <v>311</v>
      </c>
      <c r="U238" s="55" t="s">
        <v>312</v>
      </c>
      <c r="W238" s="57" t="n">
        <v>3</v>
      </c>
      <c r="X238" s="28" t="n">
        <f aca="false">Y232</f>
        <v>1.68128</v>
      </c>
      <c r="Y238" s="28" t="n">
        <f aca="false">W238%*X238</f>
        <v>0.0504384</v>
      </c>
    </row>
    <row r="239" customFormat="false" ht="15" hidden="false" customHeight="false" outlineLevel="0" collapsed="false">
      <c r="Q239" s="1" t="s">
        <v>682</v>
      </c>
      <c r="U239" s="55" t="s">
        <v>292</v>
      </c>
      <c r="V239" s="56" t="n">
        <v>1</v>
      </c>
      <c r="W239" s="99" t="n">
        <f aca="false">V239*8/$S$43</f>
        <v>0.032</v>
      </c>
      <c r="X239" s="46" t="n">
        <v>5</v>
      </c>
      <c r="Y239" s="28" t="n">
        <f aca="false">W239*X239</f>
        <v>0.16</v>
      </c>
    </row>
    <row r="240" customFormat="false" ht="15" hidden="false" customHeight="false" outlineLevel="0" collapsed="false">
      <c r="P240" s="60"/>
      <c r="Q240" s="60"/>
      <c r="R240" s="60"/>
      <c r="S240" s="60"/>
      <c r="T240" s="60"/>
      <c r="U240" s="60"/>
      <c r="V240" s="60"/>
      <c r="W240" s="60"/>
      <c r="X240" s="60"/>
      <c r="Y240" s="89" t="n">
        <f aca="false">SUM(Y238:Y239)</f>
        <v>0.2104384</v>
      </c>
    </row>
    <row r="366" customFormat="false" ht="15" hidden="false" customHeight="false" outlineLevel="0" collapsed="false">
      <c r="L366" s="15"/>
    </row>
    <row r="419" customFormat="false" ht="15" hidden="false" customHeight="false" outlineLevel="0" collapsed="false">
      <c r="Q419" s="87"/>
      <c r="U419" s="55"/>
      <c r="V419" s="56"/>
      <c r="W419" s="57"/>
      <c r="Y419" s="2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2:AM610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D21" activeCellId="0" sqref="D21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9.43"/>
    <col collapsed="false" customWidth="true" hidden="false" outlineLevel="0" max="4" min="4" style="1" width="14"/>
    <col collapsed="false" customWidth="true" hidden="false" outlineLevel="0" max="6" min="6" style="1" width="9.86"/>
    <col collapsed="false" customWidth="true" hidden="false" outlineLevel="0" max="7" min="7" style="1" width="10.43"/>
    <col collapsed="false" customWidth="true" hidden="false" outlineLevel="0" max="21" min="21" style="1" width="9.3"/>
    <col collapsed="false" customWidth="true" hidden="false" outlineLevel="0" max="30" min="30" style="1" width="30.43"/>
    <col collapsed="false" customWidth="true" hidden="false" outlineLevel="0" max="33" min="33" style="1" width="9.3"/>
  </cols>
  <sheetData>
    <row r="2" customFormat="false" ht="15" hidden="false" customHeight="false" outlineLevel="0" collapsed="false">
      <c r="M2" s="157" t="s">
        <v>1370</v>
      </c>
      <c r="N2" s="157" t="n">
        <f aca="false">'Datos iniciales '!B13</f>
        <v>1</v>
      </c>
    </row>
    <row r="3" customFormat="false" ht="15" hidden="false" customHeight="false" outlineLevel="0" collapsed="false">
      <c r="B3" s="36" t="s">
        <v>1221</v>
      </c>
      <c r="C3" s="36" t="s">
        <v>123</v>
      </c>
      <c r="D3" s="36" t="s">
        <v>124</v>
      </c>
      <c r="E3" s="36" t="s">
        <v>125</v>
      </c>
      <c r="F3" s="36" t="s">
        <v>454</v>
      </c>
      <c r="G3" s="36" t="s">
        <v>455</v>
      </c>
      <c r="M3" s="157"/>
      <c r="N3" s="157"/>
    </row>
    <row r="4" customFormat="false" ht="15" hidden="false" customHeight="false" outlineLevel="0" collapsed="false">
      <c r="A4" s="26" t="s">
        <v>1371</v>
      </c>
      <c r="B4" s="26"/>
      <c r="M4" s="157" t="s">
        <v>1369</v>
      </c>
      <c r="N4" s="157" t="n">
        <f aca="false">G5/N2</f>
        <v>601.626992726684</v>
      </c>
    </row>
    <row r="5" customFormat="false" ht="15" hidden="false" customHeight="false" outlineLevel="0" collapsed="false">
      <c r="A5" s="26"/>
      <c r="B5" s="14"/>
      <c r="F5" s="14"/>
      <c r="G5" s="28" t="n">
        <f aca="false">SUM(F6:F22)</f>
        <v>601.626992726684</v>
      </c>
      <c r="AA5" s="28"/>
    </row>
    <row r="6" customFormat="false" ht="15" hidden="false" customHeight="false" outlineLevel="0" collapsed="false">
      <c r="A6" s="26" t="s">
        <v>476</v>
      </c>
      <c r="D6" s="28"/>
      <c r="F6" s="28"/>
      <c r="R6" s="14" t="s">
        <v>278</v>
      </c>
      <c r="S6" s="14"/>
      <c r="T6" s="14" t="s">
        <v>1372</v>
      </c>
      <c r="U6" s="14"/>
    </row>
    <row r="7" customFormat="false" ht="15" hidden="false" customHeight="false" outlineLevel="0" collapsed="false">
      <c r="A7" s="1" t="s">
        <v>484</v>
      </c>
      <c r="B7" s="1" t="n">
        <v>0.0196928223844282</v>
      </c>
      <c r="C7" s="1" t="s">
        <v>134</v>
      </c>
      <c r="D7" s="28" t="n">
        <f aca="false">B7*$N$2</f>
        <v>0.0196928223844282</v>
      </c>
      <c r="E7" s="28" t="n">
        <f aca="false">AA111</f>
        <v>238.3435744</v>
      </c>
      <c r="F7" s="28" t="n">
        <f aca="false">D7*E7</f>
        <v>4.69365767712895</v>
      </c>
      <c r="R7" s="14" t="s">
        <v>279</v>
      </c>
      <c r="S7" s="14" t="s">
        <v>280</v>
      </c>
      <c r="T7" s="36" t="s">
        <v>281</v>
      </c>
      <c r="U7" s="52" t="n">
        <v>500</v>
      </c>
      <c r="V7" s="36" t="s">
        <v>282</v>
      </c>
      <c r="W7" s="52" t="n">
        <f aca="false">U7</f>
        <v>500</v>
      </c>
      <c r="X7" s="14" t="s">
        <v>283</v>
      </c>
      <c r="Z7" s="36" t="s">
        <v>134</v>
      </c>
      <c r="AA7" s="53" t="n">
        <f aca="false">AA13+AA18+AA23</f>
        <v>2.89927064</v>
      </c>
    </row>
    <row r="8" customFormat="false" ht="15" hidden="false" customHeight="false" outlineLevel="0" collapsed="false">
      <c r="A8" s="1" t="s">
        <v>669</v>
      </c>
      <c r="B8" s="1" t="n">
        <v>0.233804744525547</v>
      </c>
      <c r="C8" s="1" t="s">
        <v>134</v>
      </c>
      <c r="D8" s="28" t="n">
        <f aca="false">B8*$N$2</f>
        <v>0.233804744525547</v>
      </c>
      <c r="E8" s="28" t="n">
        <f aca="false">AA133</f>
        <v>39.6208818181818</v>
      </c>
      <c r="F8" s="28" t="n">
        <f aca="false">D8*E8</f>
        <v>9.26355015137691</v>
      </c>
      <c r="R8" s="14" t="s">
        <v>284</v>
      </c>
      <c r="S8" s="14" t="s">
        <v>285</v>
      </c>
      <c r="W8" s="36" t="s">
        <v>123</v>
      </c>
      <c r="X8" s="36" t="s">
        <v>286</v>
      </c>
      <c r="Y8" s="36" t="s">
        <v>287</v>
      </c>
      <c r="Z8" s="36" t="s">
        <v>288</v>
      </c>
      <c r="AA8" s="36" t="s">
        <v>289</v>
      </c>
    </row>
    <row r="9" customFormat="false" ht="15" hidden="false" customHeight="false" outlineLevel="0" collapsed="false">
      <c r="A9" s="26" t="s">
        <v>1373</v>
      </c>
      <c r="D9" s="28"/>
      <c r="F9" s="28"/>
      <c r="S9" s="54" t="s">
        <v>290</v>
      </c>
    </row>
    <row r="10" customFormat="false" ht="15" hidden="false" customHeight="false" outlineLevel="0" collapsed="false">
      <c r="A10" s="26" t="s">
        <v>517</v>
      </c>
      <c r="D10" s="28"/>
      <c r="F10" s="28"/>
      <c r="S10" s="1" t="s">
        <v>1374</v>
      </c>
      <c r="W10" s="55" t="s">
        <v>292</v>
      </c>
      <c r="X10" s="56" t="n">
        <v>1</v>
      </c>
      <c r="Y10" s="57" t="n">
        <f aca="false">X10*8/$U$7</f>
        <v>0.016</v>
      </c>
      <c r="Z10" s="1" t="n">
        <v>28.94</v>
      </c>
      <c r="AA10" s="28" t="n">
        <f aca="false">Y10*Z10</f>
        <v>0.46304</v>
      </c>
    </row>
    <row r="11" customFormat="false" ht="15" hidden="false" customHeight="false" outlineLevel="0" collapsed="false">
      <c r="A11" s="1" t="s">
        <v>519</v>
      </c>
      <c r="B11" s="1" t="n">
        <v>0.00492700729927007</v>
      </c>
      <c r="C11" s="1" t="s">
        <v>204</v>
      </c>
      <c r="D11" s="28" t="n">
        <f aca="false">B11*$N$2</f>
        <v>0.00492700729927007</v>
      </c>
      <c r="E11" s="28" t="n">
        <f aca="false">AA207</f>
        <v>424.9218</v>
      </c>
      <c r="F11" s="28" t="n">
        <f aca="false">D11*E11</f>
        <v>2.09359281021898</v>
      </c>
      <c r="S11" s="1" t="s">
        <v>294</v>
      </c>
      <c r="W11" s="55" t="s">
        <v>292</v>
      </c>
      <c r="X11" s="56" t="n">
        <v>3</v>
      </c>
      <c r="Y11" s="57" t="n">
        <f aca="false">X11*8/$U$7</f>
        <v>0.048</v>
      </c>
      <c r="Z11" s="1" t="n">
        <v>20.51</v>
      </c>
      <c r="AA11" s="28" t="n">
        <f aca="false">Y11*Z11</f>
        <v>0.98448</v>
      </c>
    </row>
    <row r="12" customFormat="false" ht="15" hidden="false" customHeight="false" outlineLevel="0" collapsed="false">
      <c r="A12" s="1" t="s">
        <v>521</v>
      </c>
      <c r="B12" s="1" t="n">
        <v>0.030793795620438</v>
      </c>
      <c r="C12" s="1" t="s">
        <v>134</v>
      </c>
      <c r="D12" s="28" t="n">
        <f aca="false">B12*$N$2</f>
        <v>0.030793795620438</v>
      </c>
      <c r="E12" s="28" t="n">
        <f aca="false">AA228</f>
        <v>42.64448</v>
      </c>
      <c r="F12" s="28" t="n">
        <f aca="false">D12*E12</f>
        <v>1.31318540145985</v>
      </c>
      <c r="S12" s="1" t="s">
        <v>651</v>
      </c>
      <c r="W12" s="55" t="s">
        <v>292</v>
      </c>
      <c r="X12" s="56" t="n">
        <v>0.1</v>
      </c>
      <c r="Y12" s="57" t="n">
        <f aca="false">X12*8/$U$7</f>
        <v>0.0016</v>
      </c>
      <c r="Z12" s="1" t="n">
        <v>34.73</v>
      </c>
      <c r="AA12" s="28" t="n">
        <f aca="false">Y12*Z12</f>
        <v>0.055568</v>
      </c>
    </row>
    <row r="13" customFormat="false" ht="15" hidden="false" customHeight="false" outlineLevel="0" collapsed="false">
      <c r="A13" s="1" t="s">
        <v>523</v>
      </c>
      <c r="B13" s="1" t="n">
        <v>1.08394160583942</v>
      </c>
      <c r="C13" s="1" t="s">
        <v>297</v>
      </c>
      <c r="D13" s="28" t="n">
        <f aca="false">B13*$N$2</f>
        <v>1.08394160583942</v>
      </c>
      <c r="E13" s="28" t="n">
        <f aca="false">AA244</f>
        <v>5.5639628445</v>
      </c>
      <c r="F13" s="28" t="n">
        <f aca="false">D13*E13</f>
        <v>6.03101082049818</v>
      </c>
      <c r="AA13" s="53" t="n">
        <f aca="false">SUM(AA10:AA12)</f>
        <v>1.503088</v>
      </c>
    </row>
    <row r="14" customFormat="false" ht="15" hidden="false" customHeight="false" outlineLevel="0" collapsed="false">
      <c r="A14" s="26" t="s">
        <v>568</v>
      </c>
      <c r="B14" s="26"/>
      <c r="D14" s="28"/>
      <c r="F14" s="28"/>
      <c r="S14" s="54" t="s">
        <v>654</v>
      </c>
    </row>
    <row r="15" customFormat="false" ht="15" hidden="false" customHeight="true" outlineLevel="0" collapsed="false">
      <c r="A15" s="71" t="s">
        <v>570</v>
      </c>
      <c r="B15" s="71" t="n">
        <v>0.058470194647202</v>
      </c>
      <c r="C15" s="1" t="s">
        <v>204</v>
      </c>
      <c r="D15" s="28" t="n">
        <f aca="false">B15*$N$2</f>
        <v>0.058470194647202</v>
      </c>
      <c r="E15" s="28" t="n">
        <f aca="false">AA497</f>
        <v>471.73034</v>
      </c>
      <c r="F15" s="28" t="n">
        <f aca="false">D15*E15</f>
        <v>27.5821648007908</v>
      </c>
      <c r="S15" s="1" t="s">
        <v>302</v>
      </c>
      <c r="W15" s="55" t="s">
        <v>297</v>
      </c>
      <c r="Y15" s="57" t="n">
        <v>0.005</v>
      </c>
      <c r="Z15" s="1" t="n">
        <v>5.51</v>
      </c>
      <c r="AA15" s="28" t="n">
        <f aca="false">Y15*Z15</f>
        <v>0.02755</v>
      </c>
    </row>
    <row r="16" customFormat="false" ht="15" hidden="false" customHeight="false" outlineLevel="0" collapsed="false">
      <c r="A16" s="71" t="s">
        <v>572</v>
      </c>
      <c r="B16" s="71" t="n">
        <v>0.233804744525547</v>
      </c>
      <c r="C16" s="1" t="s">
        <v>134</v>
      </c>
      <c r="D16" s="28" t="n">
        <f aca="false">B16*$N$2</f>
        <v>0.233804744525547</v>
      </c>
      <c r="E16" s="28" t="n">
        <f aca="false">AA522</f>
        <v>67.9480666666667</v>
      </c>
      <c r="F16" s="28" t="n">
        <f aca="false">D16*E16</f>
        <v>15.8865803680049</v>
      </c>
      <c r="S16" s="1" t="s">
        <v>1375</v>
      </c>
      <c r="T16" s="217"/>
      <c r="U16" s="217"/>
      <c r="V16" s="217"/>
      <c r="W16" s="55" t="s">
        <v>308</v>
      </c>
      <c r="X16" s="217"/>
      <c r="Y16" s="57" t="n">
        <v>0.025</v>
      </c>
      <c r="Z16" s="28" t="n">
        <v>38.9</v>
      </c>
      <c r="AA16" s="28" t="n">
        <f aca="false">Y16*Z16</f>
        <v>0.9725</v>
      </c>
    </row>
    <row r="17" customFormat="false" ht="15" hidden="false" customHeight="false" outlineLevel="0" collapsed="false">
      <c r="A17" s="71" t="s">
        <v>711</v>
      </c>
      <c r="B17" s="71" t="n">
        <v>8.76771593673966</v>
      </c>
      <c r="C17" s="1" t="s">
        <v>297</v>
      </c>
      <c r="D17" s="28" t="n">
        <f aca="false">B17*$N$2</f>
        <v>8.76771593673966</v>
      </c>
      <c r="E17" s="28" t="n">
        <f aca="false">AA539</f>
        <v>5.4833634845</v>
      </c>
      <c r="F17" s="28" t="n">
        <f aca="false">D17*E17</f>
        <v>48.076573409987</v>
      </c>
      <c r="S17" s="1" t="s">
        <v>309</v>
      </c>
      <c r="W17" s="55" t="s">
        <v>306</v>
      </c>
      <c r="Y17" s="57" t="n">
        <v>0.02</v>
      </c>
      <c r="Z17" s="88" t="n">
        <v>5.8</v>
      </c>
      <c r="AA17" s="28" t="n">
        <f aca="false">Y17*Z17</f>
        <v>0.116</v>
      </c>
    </row>
    <row r="18" customFormat="false" ht="15" hidden="false" customHeight="false" outlineLevel="0" collapsed="false">
      <c r="A18" s="26" t="s">
        <v>584</v>
      </c>
      <c r="D18" s="28"/>
      <c r="F18" s="28"/>
      <c r="AA18" s="53" t="n">
        <f aca="false">SUM(AA15:AA17)</f>
        <v>1.11605</v>
      </c>
    </row>
    <row r="19" customFormat="false" ht="15" hidden="false" customHeight="false" outlineLevel="0" collapsed="false">
      <c r="A19" s="1" t="s">
        <v>586</v>
      </c>
      <c r="B19" s="1" t="n">
        <v>0.251172445255474</v>
      </c>
      <c r="C19" s="1" t="s">
        <v>204</v>
      </c>
      <c r="D19" s="28" t="n">
        <f aca="false">B19*$N$2</f>
        <v>0.251172445255474</v>
      </c>
      <c r="E19" s="28" t="n">
        <f aca="false">AA555</f>
        <v>554.637093333333</v>
      </c>
      <c r="F19" s="28" t="n">
        <f aca="false">D19*E19</f>
        <v>139.309554961922</v>
      </c>
      <c r="S19" s="54" t="s">
        <v>310</v>
      </c>
    </row>
    <row r="20" customFormat="false" ht="15" hidden="false" customHeight="false" outlineLevel="0" collapsed="false">
      <c r="A20" s="1" t="s">
        <v>588</v>
      </c>
      <c r="B20" s="1" t="n">
        <v>1.87150243309002</v>
      </c>
      <c r="C20" s="1" t="s">
        <v>134</v>
      </c>
      <c r="D20" s="28" t="n">
        <f aca="false">B20*$N$2</f>
        <v>1.87150243309002</v>
      </c>
      <c r="E20" s="28" t="n">
        <f aca="false">AA579</f>
        <v>111.805364179104</v>
      </c>
      <c r="F20" s="28" t="n">
        <f aca="false">D20*E20</f>
        <v>209.24401109371</v>
      </c>
      <c r="S20" s="1" t="s">
        <v>311</v>
      </c>
      <c r="W20" s="55" t="s">
        <v>312</v>
      </c>
      <c r="Y20" s="57" t="n">
        <v>3</v>
      </c>
      <c r="Z20" s="28" t="n">
        <f aca="false">AA13</f>
        <v>1.503088</v>
      </c>
      <c r="AA20" s="28" t="n">
        <f aca="false">Y20%*Z20</f>
        <v>0.04509264</v>
      </c>
    </row>
    <row r="21" customFormat="false" ht="15" hidden="false" customHeight="false" outlineLevel="0" collapsed="false">
      <c r="A21" s="1" t="s">
        <v>590</v>
      </c>
      <c r="B21" s="1" t="n">
        <v>25.1172445255474</v>
      </c>
      <c r="C21" s="1" t="s">
        <v>297</v>
      </c>
      <c r="D21" s="28" t="n">
        <f aca="false">B21*$N$2</f>
        <v>25.1172445255474</v>
      </c>
      <c r="E21" s="28" t="n">
        <f aca="false">AA596</f>
        <v>5.4995328445</v>
      </c>
      <c r="F21" s="28" t="n">
        <f aca="false">D21*E21</f>
        <v>138.133111231586</v>
      </c>
      <c r="S21" s="1" t="s">
        <v>1376</v>
      </c>
      <c r="W21" s="55" t="s">
        <v>338</v>
      </c>
      <c r="X21" s="56" t="n">
        <v>1</v>
      </c>
      <c r="Y21" s="57" t="n">
        <f aca="false">X21*8/$U$7</f>
        <v>0.016</v>
      </c>
      <c r="Z21" s="28" t="n">
        <v>9.69</v>
      </c>
      <c r="AA21" s="28" t="n">
        <f aca="false">Y21*Z21</f>
        <v>0.15504</v>
      </c>
    </row>
    <row r="22" customFormat="false" ht="15" hidden="false" customHeight="false" outlineLevel="0" collapsed="false">
      <c r="A22" s="71"/>
      <c r="B22" s="71"/>
      <c r="D22" s="28"/>
      <c r="E22" s="28"/>
      <c r="F22" s="28"/>
      <c r="S22" s="1" t="s">
        <v>1377</v>
      </c>
      <c r="W22" s="55" t="s">
        <v>145</v>
      </c>
      <c r="Y22" s="1" t="n">
        <v>0.008</v>
      </c>
      <c r="Z22" s="57" t="n">
        <v>10</v>
      </c>
      <c r="AA22" s="28" t="n">
        <f aca="false">Y22*Z22</f>
        <v>0.08</v>
      </c>
    </row>
    <row r="23" customFormat="false" ht="15" hidden="false" customHeight="false" outlineLevel="0" collapsed="false">
      <c r="R23" s="60"/>
      <c r="S23" s="60"/>
      <c r="T23" s="60"/>
      <c r="U23" s="60"/>
      <c r="V23" s="60"/>
      <c r="W23" s="60"/>
      <c r="X23" s="60"/>
      <c r="Y23" s="60"/>
      <c r="Z23" s="80"/>
      <c r="AA23" s="61" t="n">
        <f aca="false">SUM(AA20:AA22)</f>
        <v>0.28013264</v>
      </c>
    </row>
    <row r="24" customFormat="false" ht="15" hidden="false" customHeight="false" outlineLevel="0" collapsed="false">
      <c r="G24" s="28"/>
    </row>
    <row r="25" customFormat="false" ht="15" hidden="false" customHeight="false" outlineLevel="0" collapsed="false">
      <c r="R25" s="14" t="s">
        <v>278</v>
      </c>
      <c r="S25" s="14"/>
      <c r="T25" s="14" t="s">
        <v>459</v>
      </c>
      <c r="U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 customFormat="false" ht="15" hidden="false" customHeight="false" outlineLevel="0" collapsed="false">
      <c r="R26" s="14" t="s">
        <v>279</v>
      </c>
      <c r="S26" s="14" t="s">
        <v>417</v>
      </c>
      <c r="T26" s="36" t="s">
        <v>281</v>
      </c>
      <c r="U26" s="52" t="n">
        <v>250</v>
      </c>
      <c r="V26" s="36" t="s">
        <v>282</v>
      </c>
      <c r="W26" s="52" t="n">
        <f aca="false">U26</f>
        <v>250</v>
      </c>
      <c r="X26" s="14" t="s">
        <v>283</v>
      </c>
      <c r="Z26" s="36" t="s">
        <v>204</v>
      </c>
      <c r="AA26" s="53" t="n">
        <f aca="false">AA32+AA36</f>
        <v>8.45820448</v>
      </c>
      <c r="AD26" s="14"/>
      <c r="AE26" s="14"/>
      <c r="AF26" s="36"/>
      <c r="AG26" s="52"/>
      <c r="AH26" s="36"/>
      <c r="AI26" s="52"/>
      <c r="AJ26" s="14"/>
      <c r="AL26" s="36"/>
      <c r="AM26" s="53"/>
    </row>
    <row r="27" customFormat="false" ht="15" hidden="false" customHeight="false" outlineLevel="0" collapsed="false">
      <c r="R27" s="14" t="s">
        <v>284</v>
      </c>
      <c r="S27" s="14" t="s">
        <v>285</v>
      </c>
      <c r="W27" s="36" t="s">
        <v>123</v>
      </c>
      <c r="X27" s="36" t="s">
        <v>286</v>
      </c>
      <c r="Y27" s="36" t="s">
        <v>287</v>
      </c>
      <c r="Z27" s="36" t="s">
        <v>288</v>
      </c>
      <c r="AA27" s="36" t="s">
        <v>289</v>
      </c>
      <c r="AD27" s="14"/>
      <c r="AE27" s="14"/>
      <c r="AI27" s="36"/>
      <c r="AJ27" s="36"/>
      <c r="AK27" s="36"/>
      <c r="AL27" s="36"/>
      <c r="AM27" s="36"/>
    </row>
    <row r="28" customFormat="false" ht="15" hidden="false" customHeight="false" outlineLevel="0" collapsed="false">
      <c r="S28" s="54" t="s">
        <v>290</v>
      </c>
      <c r="AE28" s="54"/>
    </row>
    <row r="29" customFormat="false" ht="15" hidden="false" customHeight="false" outlineLevel="0" collapsed="false">
      <c r="S29" s="1" t="s">
        <v>651</v>
      </c>
      <c r="W29" s="55" t="s">
        <v>292</v>
      </c>
      <c r="X29" s="56" t="n">
        <v>0.1</v>
      </c>
      <c r="Y29" s="57" t="n">
        <f aca="false">X29*8/$W$26</f>
        <v>0.0032</v>
      </c>
      <c r="Z29" s="1" t="n">
        <v>34.73</v>
      </c>
      <c r="AA29" s="28" t="n">
        <f aca="false">Y29*Z29</f>
        <v>0.111136</v>
      </c>
      <c r="AI29" s="55"/>
      <c r="AJ29" s="56"/>
      <c r="AK29" s="57"/>
      <c r="AM29" s="28"/>
    </row>
    <row r="30" customFormat="false" ht="15" hidden="false" customHeight="false" outlineLevel="0" collapsed="false">
      <c r="S30" s="1" t="s">
        <v>291</v>
      </c>
      <c r="W30" s="55" t="s">
        <v>292</v>
      </c>
      <c r="X30" s="56" t="n">
        <v>2</v>
      </c>
      <c r="Y30" s="57" t="n">
        <f aca="false">X30*8/$W$26</f>
        <v>0.064</v>
      </c>
      <c r="Z30" s="28" t="n">
        <v>28.94</v>
      </c>
      <c r="AA30" s="28" t="n">
        <f aca="false">Y30*Z30</f>
        <v>1.85216</v>
      </c>
      <c r="AI30" s="55"/>
      <c r="AJ30" s="56"/>
      <c r="AK30" s="57"/>
      <c r="AM30" s="28"/>
    </row>
    <row r="31" customFormat="false" ht="15" hidden="false" customHeight="false" outlineLevel="0" collapsed="false">
      <c r="S31" s="1" t="s">
        <v>294</v>
      </c>
      <c r="W31" s="55" t="s">
        <v>292</v>
      </c>
      <c r="X31" s="56" t="n">
        <v>1</v>
      </c>
      <c r="Y31" s="57" t="n">
        <f aca="false">X31*8/$W$26</f>
        <v>0.032</v>
      </c>
      <c r="Z31" s="1" t="n">
        <v>20.51</v>
      </c>
      <c r="AA31" s="28" t="n">
        <f aca="false">Y31*Z31</f>
        <v>0.65632</v>
      </c>
      <c r="AM31" s="53"/>
    </row>
    <row r="32" customFormat="false" ht="15" hidden="false" customHeight="false" outlineLevel="0" collapsed="false">
      <c r="AA32" s="53" t="n">
        <f aca="false">SUM(AA29:AA31)</f>
        <v>2.619616</v>
      </c>
      <c r="AE32" s="54"/>
    </row>
    <row r="33" customFormat="false" ht="15" hidden="false" customHeight="false" outlineLevel="0" collapsed="false">
      <c r="S33" s="54" t="s">
        <v>310</v>
      </c>
      <c r="AI33" s="55"/>
      <c r="AK33" s="57"/>
      <c r="AL33" s="28"/>
      <c r="AM33" s="28"/>
    </row>
    <row r="34" customFormat="false" ht="15" hidden="false" customHeight="false" outlineLevel="0" collapsed="false">
      <c r="S34" s="1" t="s">
        <v>311</v>
      </c>
      <c r="W34" s="55" t="s">
        <v>312</v>
      </c>
      <c r="Y34" s="57" t="n">
        <v>3</v>
      </c>
      <c r="Z34" s="28" t="n">
        <f aca="false">AA32</f>
        <v>2.619616</v>
      </c>
      <c r="AA34" s="28" t="n">
        <f aca="false">Y34%*Z34</f>
        <v>0.07858848</v>
      </c>
    </row>
    <row r="35" customFormat="false" ht="15" hidden="false" customHeight="false" outlineLevel="0" collapsed="false">
      <c r="S35" s="1" t="s">
        <v>652</v>
      </c>
      <c r="W35" s="55" t="s">
        <v>338</v>
      </c>
      <c r="X35" s="56" t="n">
        <v>1</v>
      </c>
      <c r="Y35" s="57" t="n">
        <f aca="false">X35*8/$W$26</f>
        <v>0.032</v>
      </c>
      <c r="Z35" s="1" t="n">
        <v>180</v>
      </c>
      <c r="AA35" s="28" t="n">
        <f aca="false">Y35*Z35</f>
        <v>5.76</v>
      </c>
      <c r="AI35" s="55"/>
      <c r="AJ35" s="56"/>
      <c r="AK35" s="57"/>
      <c r="AM35" s="28"/>
    </row>
    <row r="36" customFormat="false" ht="15" hidden="false" customHeight="false" outlineLevel="0" collapsed="false">
      <c r="R36" s="60"/>
      <c r="S36" s="60"/>
      <c r="T36" s="60"/>
      <c r="U36" s="60"/>
      <c r="V36" s="60"/>
      <c r="W36" s="60"/>
      <c r="X36" s="60"/>
      <c r="Y36" s="60"/>
      <c r="Z36" s="60"/>
      <c r="AA36" s="61" t="n">
        <f aca="false">SUM(AA34:AA35)</f>
        <v>5.83858848</v>
      </c>
      <c r="AM36" s="53"/>
    </row>
    <row r="37" customFormat="false" ht="15" hidden="false" customHeight="false" outlineLevel="0" collapsed="false">
      <c r="S37" s="54"/>
      <c r="W37" s="55"/>
      <c r="X37" s="56"/>
      <c r="Y37" s="57"/>
      <c r="AE37" s="54"/>
      <c r="AI37" s="55"/>
      <c r="AJ37" s="56"/>
      <c r="AK37" s="57"/>
    </row>
    <row r="38" customFormat="false" ht="15" hidden="false" customHeight="false" outlineLevel="0" collapsed="false">
      <c r="Z38" s="28"/>
      <c r="AA38" s="28"/>
    </row>
    <row r="39" customFormat="false" ht="15" hidden="false" customHeight="false" outlineLevel="0" collapsed="false">
      <c r="F39" s="28"/>
      <c r="Z39" s="14"/>
      <c r="AA39" s="53"/>
      <c r="AL39" s="14"/>
      <c r="AM39" s="53"/>
    </row>
    <row r="41" customFormat="false" ht="15" hidden="false" customHeight="false" outlineLevel="0" collapsed="false">
      <c r="R41" s="14" t="s">
        <v>278</v>
      </c>
      <c r="S41" s="14"/>
      <c r="T41" s="14" t="s">
        <v>461</v>
      </c>
      <c r="U41" s="14"/>
    </row>
    <row r="42" customFormat="false" ht="15" hidden="false" customHeight="false" outlineLevel="0" collapsed="false">
      <c r="R42" s="14" t="s">
        <v>279</v>
      </c>
      <c r="S42" s="14" t="s">
        <v>417</v>
      </c>
      <c r="T42" s="36" t="s">
        <v>281</v>
      </c>
      <c r="U42" s="52" t="n">
        <v>4</v>
      </c>
      <c r="V42" s="36" t="s">
        <v>282</v>
      </c>
      <c r="W42" s="52" t="n">
        <f aca="false">U42</f>
        <v>4</v>
      </c>
      <c r="X42" s="14" t="s">
        <v>283</v>
      </c>
      <c r="Z42" s="36" t="s">
        <v>204</v>
      </c>
      <c r="AA42" s="53" t="n">
        <f aca="false">AA47+AA50</f>
        <v>49.40498</v>
      </c>
    </row>
    <row r="43" customFormat="false" ht="15" hidden="false" customHeight="false" outlineLevel="0" collapsed="false">
      <c r="R43" s="14" t="s">
        <v>284</v>
      </c>
      <c r="S43" s="14" t="s">
        <v>285</v>
      </c>
      <c r="W43" s="36" t="s">
        <v>123</v>
      </c>
      <c r="X43" s="36" t="s">
        <v>286</v>
      </c>
      <c r="Y43" s="36" t="s">
        <v>287</v>
      </c>
      <c r="Z43" s="36" t="s">
        <v>288</v>
      </c>
      <c r="AA43" s="36" t="s">
        <v>289</v>
      </c>
      <c r="AD43" s="14"/>
    </row>
    <row r="44" customFormat="false" ht="15" hidden="false" customHeight="false" outlineLevel="0" collapsed="false">
      <c r="S44" s="54" t="s">
        <v>290</v>
      </c>
      <c r="AD44" s="14"/>
    </row>
    <row r="45" customFormat="false" ht="15" hidden="false" customHeight="false" outlineLevel="0" collapsed="false">
      <c r="S45" s="1" t="s">
        <v>651</v>
      </c>
      <c r="W45" s="55" t="s">
        <v>292</v>
      </c>
      <c r="X45" s="56" t="n">
        <v>0.1</v>
      </c>
      <c r="Y45" s="57" t="n">
        <f aca="false">X45*8/$W$42</f>
        <v>0.2</v>
      </c>
      <c r="Z45" s="1" t="n">
        <v>34.73</v>
      </c>
      <c r="AA45" s="28" t="n">
        <f aca="false">Y45*Z45</f>
        <v>6.946</v>
      </c>
      <c r="AD45" s="14"/>
    </row>
    <row r="46" customFormat="false" ht="15" hidden="false" customHeight="false" outlineLevel="0" collapsed="false">
      <c r="S46" s="1" t="s">
        <v>294</v>
      </c>
      <c r="W46" s="55" t="s">
        <v>292</v>
      </c>
      <c r="X46" s="56" t="n">
        <v>1</v>
      </c>
      <c r="Y46" s="57" t="n">
        <f aca="false">X46*8/$W$42</f>
        <v>2</v>
      </c>
      <c r="Z46" s="1" t="n">
        <v>20.51</v>
      </c>
      <c r="AA46" s="28" t="n">
        <f aca="false">Y46*Z46</f>
        <v>41.02</v>
      </c>
      <c r="AD46" s="14"/>
    </row>
    <row r="47" customFormat="false" ht="15" hidden="false" customHeight="false" outlineLevel="0" collapsed="false">
      <c r="W47" s="55"/>
      <c r="X47" s="56"/>
      <c r="Y47" s="57"/>
      <c r="AA47" s="53" t="n">
        <f aca="false">SUM(AA45:AA46)</f>
        <v>47.966</v>
      </c>
      <c r="AD47" s="14"/>
    </row>
    <row r="48" customFormat="false" ht="15" hidden="false" customHeight="false" outlineLevel="0" collapsed="false">
      <c r="S48" s="54" t="s">
        <v>310</v>
      </c>
      <c r="AD48" s="14"/>
    </row>
    <row r="49" customFormat="false" ht="15" hidden="false" customHeight="false" outlineLevel="0" collapsed="false">
      <c r="S49" s="1" t="s">
        <v>311</v>
      </c>
      <c r="W49" s="55" t="s">
        <v>312</v>
      </c>
      <c r="Y49" s="57" t="n">
        <v>3</v>
      </c>
      <c r="Z49" s="28" t="n">
        <f aca="false">AA47</f>
        <v>47.966</v>
      </c>
      <c r="AA49" s="28" t="n">
        <f aca="false">Y49%*Z49</f>
        <v>1.43898</v>
      </c>
    </row>
    <row r="50" customFormat="false" ht="15" hidden="false" customHeight="false" outlineLevel="0" collapsed="false">
      <c r="R50" s="60"/>
      <c r="S50" s="60"/>
      <c r="T50" s="60"/>
      <c r="U50" s="60"/>
      <c r="V50" s="60"/>
      <c r="W50" s="60"/>
      <c r="X50" s="60"/>
      <c r="Y50" s="60"/>
      <c r="Z50" s="80"/>
      <c r="AA50" s="61" t="n">
        <f aca="false">SUM(AA49)</f>
        <v>1.43898</v>
      </c>
    </row>
    <row r="52" customFormat="false" ht="15" hidden="false" customHeight="false" outlineLevel="0" collapsed="false">
      <c r="R52" s="14" t="s">
        <v>278</v>
      </c>
      <c r="S52" s="14"/>
      <c r="T52" s="14" t="s">
        <v>463</v>
      </c>
      <c r="U52" s="14"/>
    </row>
    <row r="53" customFormat="false" ht="15" hidden="false" customHeight="false" outlineLevel="0" collapsed="false">
      <c r="R53" s="14" t="s">
        <v>279</v>
      </c>
      <c r="S53" s="14" t="s">
        <v>417</v>
      </c>
      <c r="T53" s="36" t="s">
        <v>281</v>
      </c>
      <c r="U53" s="52" t="n">
        <v>30</v>
      </c>
      <c r="V53" s="36" t="s">
        <v>282</v>
      </c>
      <c r="W53" s="52" t="n">
        <f aca="false">U53</f>
        <v>30</v>
      </c>
      <c r="X53" s="14" t="s">
        <v>283</v>
      </c>
      <c r="Z53" s="36" t="s">
        <v>204</v>
      </c>
      <c r="AA53" s="53" t="n">
        <f aca="false">AA59+AA63+AA67</f>
        <v>66.2342173333333</v>
      </c>
    </row>
    <row r="54" customFormat="false" ht="15" hidden="false" customHeight="false" outlineLevel="0" collapsed="false">
      <c r="R54" s="14" t="s">
        <v>284</v>
      </c>
      <c r="S54" s="14" t="s">
        <v>285</v>
      </c>
      <c r="W54" s="36" t="s">
        <v>123</v>
      </c>
      <c r="X54" s="36" t="s">
        <v>286</v>
      </c>
      <c r="Y54" s="36" t="s">
        <v>287</v>
      </c>
      <c r="Z54" s="36" t="s">
        <v>288</v>
      </c>
      <c r="AA54" s="36" t="s">
        <v>289</v>
      </c>
    </row>
    <row r="55" customFormat="false" ht="15" hidden="false" customHeight="false" outlineLevel="0" collapsed="false">
      <c r="S55" s="54" t="s">
        <v>290</v>
      </c>
    </row>
    <row r="56" customFormat="false" ht="15" hidden="false" customHeight="false" outlineLevel="0" collapsed="false">
      <c r="S56" s="1" t="s">
        <v>651</v>
      </c>
      <c r="W56" s="55" t="s">
        <v>292</v>
      </c>
      <c r="X56" s="56" t="n">
        <v>0.1</v>
      </c>
      <c r="Y56" s="57" t="n">
        <f aca="false">X56*8/$W$53</f>
        <v>0.0266666666666667</v>
      </c>
      <c r="Z56" s="1" t="n">
        <v>34.73</v>
      </c>
      <c r="AA56" s="28" t="n">
        <f aca="false">Y56*Z56</f>
        <v>0.926133333333333</v>
      </c>
    </row>
    <row r="57" customFormat="false" ht="15" hidden="false" customHeight="false" outlineLevel="0" collapsed="false">
      <c r="S57" s="1" t="s">
        <v>294</v>
      </c>
      <c r="W57" s="55" t="s">
        <v>292</v>
      </c>
      <c r="X57" s="56" t="n">
        <v>1</v>
      </c>
      <c r="Y57" s="57" t="n">
        <f aca="false">X57*8/$W$53</f>
        <v>0.266666666666667</v>
      </c>
      <c r="Z57" s="1" t="n">
        <v>20.51</v>
      </c>
      <c r="AA57" s="28" t="n">
        <f aca="false">Y57*Z57</f>
        <v>5.46933333333333</v>
      </c>
    </row>
    <row r="58" customFormat="false" ht="15" hidden="false" customHeight="false" outlineLevel="0" collapsed="false">
      <c r="S58" s="1" t="s">
        <v>653</v>
      </c>
      <c r="W58" s="55" t="s">
        <v>292</v>
      </c>
      <c r="X58" s="56" t="n">
        <v>1</v>
      </c>
      <c r="Y58" s="57" t="n">
        <f aca="false">X58*8/$W$53</f>
        <v>0.266666666666667</v>
      </c>
      <c r="Z58" s="1" t="n">
        <v>29.94</v>
      </c>
      <c r="AA58" s="28" t="n">
        <f aca="false">Y58*Z58</f>
        <v>7.984</v>
      </c>
    </row>
    <row r="59" customFormat="false" ht="15" hidden="false" customHeight="false" outlineLevel="0" collapsed="false">
      <c r="W59" s="55"/>
      <c r="X59" s="56"/>
      <c r="Y59" s="57"/>
      <c r="AA59" s="53" t="n">
        <f aca="false">SUM(AA56:AA58)</f>
        <v>14.3794666666667</v>
      </c>
    </row>
    <row r="60" customFormat="false" ht="15" hidden="false" customHeight="false" outlineLevel="0" collapsed="false">
      <c r="S60" s="54" t="s">
        <v>654</v>
      </c>
      <c r="W60" s="55"/>
      <c r="X60" s="56"/>
      <c r="Y60" s="57"/>
      <c r="AA60" s="28"/>
    </row>
    <row r="61" customFormat="false" ht="15" hidden="false" customHeight="false" outlineLevel="0" collapsed="false">
      <c r="S61" s="1" t="s">
        <v>655</v>
      </c>
      <c r="W61" s="55" t="s">
        <v>204</v>
      </c>
      <c r="X61" s="56"/>
      <c r="Y61" s="57" t="n">
        <v>1.05</v>
      </c>
      <c r="Z61" s="46" t="n">
        <v>44.07</v>
      </c>
      <c r="AA61" s="28" t="n">
        <f aca="false">Y61*Z61</f>
        <v>46.2735</v>
      </c>
    </row>
    <row r="62" customFormat="false" ht="15" hidden="false" customHeight="false" outlineLevel="0" collapsed="false">
      <c r="S62" s="1" t="s">
        <v>656</v>
      </c>
      <c r="W62" s="55" t="s">
        <v>204</v>
      </c>
      <c r="X62" s="56"/>
      <c r="Y62" s="57" t="n">
        <v>0.08</v>
      </c>
      <c r="Z62" s="1" t="n">
        <v>6.14</v>
      </c>
      <c r="AA62" s="28" t="n">
        <f aca="false">Y62*Z62</f>
        <v>0.4912</v>
      </c>
    </row>
    <row r="63" customFormat="false" ht="15" hidden="false" customHeight="false" outlineLevel="0" collapsed="false">
      <c r="W63" s="55"/>
      <c r="Y63" s="57"/>
      <c r="AA63" s="53" t="n">
        <f aca="false">SUM(AA61:AA62)</f>
        <v>46.7647</v>
      </c>
    </row>
    <row r="64" customFormat="false" ht="15" hidden="false" customHeight="false" outlineLevel="0" collapsed="false">
      <c r="S64" s="54" t="s">
        <v>310</v>
      </c>
    </row>
    <row r="65" customFormat="false" ht="15" hidden="false" customHeight="false" outlineLevel="0" collapsed="false">
      <c r="S65" s="1" t="s">
        <v>311</v>
      </c>
      <c r="W65" s="55" t="s">
        <v>312</v>
      </c>
      <c r="Y65" s="57" t="n">
        <v>3</v>
      </c>
      <c r="Z65" s="28" t="n">
        <f aca="false">AA59</f>
        <v>14.3794666666667</v>
      </c>
      <c r="AA65" s="28" t="n">
        <f aca="false">Y65%*Z65</f>
        <v>0.431384</v>
      </c>
    </row>
    <row r="66" customFormat="false" ht="15" hidden="false" customHeight="false" outlineLevel="0" collapsed="false">
      <c r="S66" s="1" t="s">
        <v>657</v>
      </c>
      <c r="W66" s="55" t="s">
        <v>338</v>
      </c>
      <c r="X66" s="56" t="n">
        <v>1</v>
      </c>
      <c r="Y66" s="57" t="n">
        <f aca="false">X66*8/$W$53</f>
        <v>0.266666666666667</v>
      </c>
      <c r="Z66" s="1" t="n">
        <v>17.47</v>
      </c>
      <c r="AA66" s="28" t="n">
        <f aca="false">Y66*Z66</f>
        <v>4.65866666666667</v>
      </c>
    </row>
    <row r="67" customFormat="false" ht="15" hidden="false" customHeight="false" outlineLevel="0" collapsed="false">
      <c r="R67" s="60"/>
      <c r="S67" s="60"/>
      <c r="T67" s="60"/>
      <c r="U67" s="60"/>
      <c r="V67" s="60"/>
      <c r="W67" s="60"/>
      <c r="X67" s="60"/>
      <c r="Y67" s="60"/>
      <c r="Z67" s="80"/>
      <c r="AA67" s="61" t="n">
        <f aca="false">SUM(AA65:AA66)</f>
        <v>5.09005066666667</v>
      </c>
    </row>
    <row r="69" customFormat="false" ht="15" hidden="false" customHeight="false" outlineLevel="0" collapsed="false">
      <c r="R69" s="14" t="s">
        <v>278</v>
      </c>
      <c r="S69" s="14"/>
      <c r="T69" s="14" t="s">
        <v>465</v>
      </c>
      <c r="U69" s="14"/>
    </row>
    <row r="70" customFormat="false" ht="15" hidden="false" customHeight="false" outlineLevel="0" collapsed="false">
      <c r="R70" s="14" t="s">
        <v>279</v>
      </c>
      <c r="S70" s="14" t="s">
        <v>417</v>
      </c>
      <c r="T70" s="36" t="s">
        <v>281</v>
      </c>
      <c r="U70" s="52" t="n">
        <v>40</v>
      </c>
      <c r="V70" s="36" t="s">
        <v>282</v>
      </c>
      <c r="W70" s="52" t="n">
        <f aca="false">U70</f>
        <v>40</v>
      </c>
      <c r="X70" s="14" t="s">
        <v>283</v>
      </c>
      <c r="Z70" s="36" t="s">
        <v>204</v>
      </c>
      <c r="AA70" s="53" t="n">
        <f aca="false">AA76+AA84</f>
        <v>19.29963</v>
      </c>
    </row>
    <row r="71" customFormat="false" ht="15" hidden="false" customHeight="false" outlineLevel="0" collapsed="false">
      <c r="R71" s="14" t="s">
        <v>284</v>
      </c>
      <c r="S71" s="14" t="s">
        <v>285</v>
      </c>
      <c r="W71" s="36" t="s">
        <v>123</v>
      </c>
      <c r="X71" s="36" t="s">
        <v>286</v>
      </c>
      <c r="Y71" s="36" t="s">
        <v>287</v>
      </c>
      <c r="Z71" s="36" t="s">
        <v>288</v>
      </c>
      <c r="AA71" s="36" t="s">
        <v>289</v>
      </c>
    </row>
    <row r="72" customFormat="false" ht="15" hidden="false" customHeight="false" outlineLevel="0" collapsed="false">
      <c r="S72" s="54" t="s">
        <v>290</v>
      </c>
    </row>
    <row r="73" customFormat="false" ht="15" hidden="false" customHeight="false" outlineLevel="0" collapsed="false">
      <c r="S73" s="1" t="s">
        <v>651</v>
      </c>
      <c r="W73" s="55" t="s">
        <v>292</v>
      </c>
      <c r="X73" s="56" t="n">
        <v>0.1</v>
      </c>
      <c r="Y73" s="57" t="n">
        <f aca="false">X73*8/$W$70</f>
        <v>0.02</v>
      </c>
      <c r="Z73" s="1" t="n">
        <v>34.73</v>
      </c>
      <c r="AA73" s="28" t="n">
        <f aca="false">Y73*Z73</f>
        <v>0.6946</v>
      </c>
    </row>
    <row r="74" customFormat="false" ht="15" hidden="false" customHeight="false" outlineLevel="0" collapsed="false">
      <c r="S74" s="1" t="s">
        <v>294</v>
      </c>
      <c r="W74" s="55" t="s">
        <v>292</v>
      </c>
      <c r="X74" s="56" t="n">
        <v>2</v>
      </c>
      <c r="Y74" s="57" t="n">
        <f aca="false">X74*8/$W$70</f>
        <v>0.4</v>
      </c>
      <c r="Z74" s="1" t="n">
        <v>20.51</v>
      </c>
      <c r="AA74" s="28" t="n">
        <f aca="false">Y74*Z74</f>
        <v>8.204</v>
      </c>
    </row>
    <row r="75" customFormat="false" ht="15" hidden="false" customHeight="false" outlineLevel="0" collapsed="false">
      <c r="S75" s="1" t="s">
        <v>653</v>
      </c>
      <c r="W75" s="55" t="s">
        <v>292</v>
      </c>
      <c r="X75" s="56" t="n">
        <v>1</v>
      </c>
      <c r="Y75" s="57" t="n">
        <f aca="false">X75*8/$W$70</f>
        <v>0.2</v>
      </c>
      <c r="Z75" s="1" t="n">
        <v>29.94</v>
      </c>
      <c r="AA75" s="28" t="n">
        <f aca="false">Y75*Z75</f>
        <v>5.988</v>
      </c>
    </row>
    <row r="76" customFormat="false" ht="15" hidden="false" customHeight="false" outlineLevel="0" collapsed="false">
      <c r="AA76" s="53" t="n">
        <f aca="false">SUM(AA73:AA75)</f>
        <v>14.8866</v>
      </c>
    </row>
    <row r="77" customFormat="false" ht="15" hidden="false" customHeight="false" outlineLevel="0" collapsed="false">
      <c r="S77" s="54" t="s">
        <v>654</v>
      </c>
      <c r="W77" s="55"/>
      <c r="X77" s="56"/>
      <c r="Y77" s="57"/>
      <c r="AA77" s="28"/>
    </row>
    <row r="78" customFormat="false" ht="15" hidden="false" customHeight="false" outlineLevel="0" collapsed="false">
      <c r="S78" s="1" t="s">
        <v>656</v>
      </c>
      <c r="W78" s="55" t="s">
        <v>204</v>
      </c>
      <c r="X78" s="56"/>
      <c r="Y78" s="57" t="n">
        <v>0.08</v>
      </c>
      <c r="Z78" s="1" t="n">
        <v>6.14</v>
      </c>
      <c r="AA78" s="28" t="n">
        <f aca="false">Y78*Z78</f>
        <v>0.4912</v>
      </c>
    </row>
    <row r="79" customFormat="false" ht="15" hidden="false" customHeight="false" outlineLevel="0" collapsed="false">
      <c r="W79" s="55"/>
      <c r="Y79" s="57"/>
      <c r="AA79" s="53" t="n">
        <f aca="false">SUM(AA78:AA78)</f>
        <v>0.4912</v>
      </c>
    </row>
    <row r="80" customFormat="false" ht="15" hidden="false" customHeight="false" outlineLevel="0" collapsed="false">
      <c r="S80" s="54" t="s">
        <v>310</v>
      </c>
    </row>
    <row r="81" customFormat="false" ht="15" hidden="false" customHeight="false" outlineLevel="0" collapsed="false">
      <c r="S81" s="1" t="s">
        <v>311</v>
      </c>
      <c r="W81" s="55" t="s">
        <v>312</v>
      </c>
      <c r="Y81" s="57" t="n">
        <v>5</v>
      </c>
      <c r="Z81" s="28" t="n">
        <f aca="false">AA76</f>
        <v>14.8866</v>
      </c>
      <c r="AA81" s="28" t="n">
        <f aca="false">Y81%*Z81</f>
        <v>0.74433</v>
      </c>
    </row>
    <row r="82" customFormat="false" ht="15" hidden="false" customHeight="false" outlineLevel="0" collapsed="false">
      <c r="S82" s="1" t="s">
        <v>657</v>
      </c>
      <c r="W82" s="55" t="s">
        <v>338</v>
      </c>
      <c r="X82" s="56" t="n">
        <v>1</v>
      </c>
      <c r="Y82" s="57" t="n">
        <f aca="false">X82*8/$W$70</f>
        <v>0.2</v>
      </c>
      <c r="Z82" s="1" t="n">
        <v>17.47</v>
      </c>
      <c r="AA82" s="28" t="n">
        <f aca="false">Y82*Z82</f>
        <v>3.494</v>
      </c>
    </row>
    <row r="83" customFormat="false" ht="15" hidden="false" customHeight="false" outlineLevel="0" collapsed="false">
      <c r="S83" s="1" t="s">
        <v>658</v>
      </c>
      <c r="W83" s="55" t="s">
        <v>338</v>
      </c>
      <c r="X83" s="56" t="n">
        <v>0.05</v>
      </c>
      <c r="Y83" s="57" t="n">
        <f aca="false">X83*8/$W$70</f>
        <v>0.01</v>
      </c>
      <c r="Z83" s="1" t="n">
        <v>17.47</v>
      </c>
      <c r="AA83" s="28" t="n">
        <f aca="false">Y83*Z83</f>
        <v>0.1747</v>
      </c>
    </row>
    <row r="84" customFormat="false" ht="15" hidden="false" customHeight="false" outlineLevel="0" collapsed="false">
      <c r="R84" s="60"/>
      <c r="S84" s="60"/>
      <c r="T84" s="60"/>
      <c r="U84" s="60"/>
      <c r="V84" s="60"/>
      <c r="W84" s="60"/>
      <c r="X84" s="60"/>
      <c r="Y84" s="60"/>
      <c r="Z84" s="80"/>
      <c r="AA84" s="61" t="n">
        <f aca="false">SUM(AA81:AA83)</f>
        <v>4.41303</v>
      </c>
    </row>
    <row r="86" customFormat="false" ht="15" hidden="false" customHeight="false" outlineLevel="0" collapsed="false">
      <c r="R86" s="14" t="s">
        <v>278</v>
      </c>
      <c r="S86" s="14"/>
      <c r="T86" s="14" t="s">
        <v>469</v>
      </c>
      <c r="U86" s="14"/>
    </row>
    <row r="87" customFormat="false" ht="15" hidden="false" customHeight="false" outlineLevel="0" collapsed="false">
      <c r="R87" s="14" t="s">
        <v>279</v>
      </c>
      <c r="S87" s="14" t="s">
        <v>314</v>
      </c>
      <c r="T87" s="36" t="s">
        <v>281</v>
      </c>
      <c r="U87" s="52" t="n">
        <v>80</v>
      </c>
      <c r="V87" s="36" t="s">
        <v>282</v>
      </c>
      <c r="W87" s="52" t="n">
        <f aca="false">U87</f>
        <v>80</v>
      </c>
      <c r="X87" s="14" t="s">
        <v>283</v>
      </c>
      <c r="Z87" s="36" t="s">
        <v>145</v>
      </c>
      <c r="AA87" s="53" t="n">
        <f aca="false">AA91+AA95</f>
        <v>12.11253</v>
      </c>
    </row>
    <row r="88" customFormat="false" ht="15" hidden="false" customHeight="false" outlineLevel="0" collapsed="false">
      <c r="R88" s="14" t="s">
        <v>284</v>
      </c>
      <c r="S88" s="14" t="s">
        <v>285</v>
      </c>
      <c r="W88" s="36" t="s">
        <v>123</v>
      </c>
      <c r="X88" s="36" t="s">
        <v>286</v>
      </c>
      <c r="Y88" s="36" t="s">
        <v>287</v>
      </c>
      <c r="Z88" s="36" t="s">
        <v>288</v>
      </c>
      <c r="AA88" s="36" t="s">
        <v>289</v>
      </c>
    </row>
    <row r="89" customFormat="false" ht="15" hidden="false" customHeight="false" outlineLevel="0" collapsed="false">
      <c r="S89" s="54" t="s">
        <v>290</v>
      </c>
    </row>
    <row r="90" customFormat="false" ht="15" hidden="false" customHeight="false" outlineLevel="0" collapsed="false">
      <c r="S90" s="1" t="s">
        <v>294</v>
      </c>
      <c r="W90" s="55" t="s">
        <v>292</v>
      </c>
      <c r="X90" s="56" t="n">
        <v>1</v>
      </c>
      <c r="Y90" s="57" t="n">
        <f aca="false">X90*8/$U$87</f>
        <v>0.1</v>
      </c>
      <c r="Z90" s="1" t="n">
        <v>20.51</v>
      </c>
      <c r="AA90" s="28" t="n">
        <f aca="false">Y90*Z90</f>
        <v>2.051</v>
      </c>
    </row>
    <row r="91" customFormat="false" ht="15" hidden="false" customHeight="false" outlineLevel="0" collapsed="false">
      <c r="W91" s="55"/>
      <c r="X91" s="56"/>
      <c r="Y91" s="57"/>
      <c r="AA91" s="53" t="n">
        <f aca="false">SUM(AA90:AA90)</f>
        <v>2.051</v>
      </c>
    </row>
    <row r="92" customFormat="false" ht="15" hidden="false" customHeight="false" outlineLevel="0" collapsed="false">
      <c r="S92" s="54" t="s">
        <v>310</v>
      </c>
    </row>
    <row r="93" customFormat="false" ht="15" hidden="false" customHeight="false" outlineLevel="0" collapsed="false">
      <c r="S93" s="1" t="s">
        <v>311</v>
      </c>
      <c r="W93" s="55" t="s">
        <v>312</v>
      </c>
      <c r="Y93" s="57" t="n">
        <v>3</v>
      </c>
      <c r="Z93" s="28" t="n">
        <f aca="false">AA91</f>
        <v>2.051</v>
      </c>
      <c r="AA93" s="28" t="n">
        <f aca="false">Y93%*Z93</f>
        <v>0.06153</v>
      </c>
    </row>
    <row r="94" customFormat="false" ht="15" hidden="false" customHeight="false" outlineLevel="0" collapsed="false">
      <c r="S94" s="1" t="s">
        <v>661</v>
      </c>
      <c r="W94" s="55" t="s">
        <v>338</v>
      </c>
      <c r="X94" s="56" t="n">
        <v>1</v>
      </c>
      <c r="Y94" s="57" t="n">
        <f aca="false">X94*8/$U$87</f>
        <v>0.1</v>
      </c>
      <c r="Z94" s="1" t="n">
        <v>100</v>
      </c>
      <c r="AA94" s="28" t="n">
        <f aca="false">Y94*Z94</f>
        <v>10</v>
      </c>
    </row>
    <row r="95" customFormat="false" ht="15" hidden="false" customHeight="false" outlineLevel="0" collapsed="false">
      <c r="R95" s="60"/>
      <c r="S95" s="60"/>
      <c r="T95" s="60"/>
      <c r="U95" s="60"/>
      <c r="V95" s="60"/>
      <c r="W95" s="60"/>
      <c r="X95" s="60"/>
      <c r="Y95" s="60"/>
      <c r="Z95" s="80"/>
      <c r="AA95" s="61" t="n">
        <f aca="false">SUM(AA93:AA94)</f>
        <v>10.06153</v>
      </c>
    </row>
    <row r="97" customFormat="false" ht="15" hidden="false" customHeight="false" outlineLevel="0" collapsed="false">
      <c r="R97" s="14" t="s">
        <v>278</v>
      </c>
      <c r="S97" s="14"/>
      <c r="T97" s="14" t="s">
        <v>471</v>
      </c>
      <c r="U97" s="14"/>
      <c r="AC97" s="14"/>
      <c r="AD97" s="14"/>
      <c r="AE97" s="14"/>
      <c r="AF97" s="14"/>
    </row>
    <row r="98" customFormat="false" ht="15" hidden="false" customHeight="false" outlineLevel="0" collapsed="false">
      <c r="R98" s="14" t="s">
        <v>279</v>
      </c>
      <c r="S98" s="14" t="s">
        <v>417</v>
      </c>
      <c r="T98" s="36" t="s">
        <v>281</v>
      </c>
      <c r="U98" s="52" t="n">
        <v>187.5</v>
      </c>
      <c r="V98" s="36" t="s">
        <v>282</v>
      </c>
      <c r="W98" s="52" t="n">
        <f aca="false">U98</f>
        <v>187.5</v>
      </c>
      <c r="X98" s="14" t="s">
        <v>283</v>
      </c>
      <c r="Z98" s="36" t="s">
        <v>204</v>
      </c>
      <c r="AA98" s="53" t="n">
        <f aca="false">AA103+AA108</f>
        <v>22.9100074666667</v>
      </c>
      <c r="AC98" s="14"/>
      <c r="AD98" s="14"/>
      <c r="AE98" s="36"/>
      <c r="AF98" s="52"/>
      <c r="AG98" s="36"/>
      <c r="AH98" s="52"/>
      <c r="AI98" s="14"/>
      <c r="AK98" s="36"/>
      <c r="AL98" s="53"/>
    </row>
    <row r="99" customFormat="false" ht="15" hidden="false" customHeight="false" outlineLevel="0" collapsed="false">
      <c r="R99" s="14" t="s">
        <v>284</v>
      </c>
      <c r="S99" s="14" t="s">
        <v>285</v>
      </c>
      <c r="W99" s="36" t="s">
        <v>123</v>
      </c>
      <c r="X99" s="36" t="s">
        <v>286</v>
      </c>
      <c r="Y99" s="36" t="s">
        <v>287</v>
      </c>
      <c r="Z99" s="36" t="s">
        <v>288</v>
      </c>
      <c r="AA99" s="36" t="s">
        <v>289</v>
      </c>
      <c r="AC99" s="14"/>
      <c r="AD99" s="14"/>
      <c r="AH99" s="36"/>
      <c r="AI99" s="36"/>
      <c r="AJ99" s="36"/>
      <c r="AK99" s="36"/>
      <c r="AL99" s="36"/>
    </row>
    <row r="100" customFormat="false" ht="15" hidden="false" customHeight="false" outlineLevel="0" collapsed="false">
      <c r="S100" s="54" t="s">
        <v>290</v>
      </c>
      <c r="AD100" s="54"/>
    </row>
    <row r="101" customFormat="false" ht="15" hidden="false" customHeight="false" outlineLevel="0" collapsed="false">
      <c r="S101" s="1" t="s">
        <v>293</v>
      </c>
      <c r="W101" s="55" t="s">
        <v>292</v>
      </c>
      <c r="X101" s="56" t="n">
        <v>1</v>
      </c>
      <c r="Y101" s="57" t="n">
        <f aca="false">X101*8/$U$98</f>
        <v>0.0426666666666667</v>
      </c>
      <c r="Z101" s="1" t="n">
        <v>23.6</v>
      </c>
      <c r="AA101" s="28" t="n">
        <f aca="false">Y101*Z101</f>
        <v>1.00693333333333</v>
      </c>
      <c r="AH101" s="55"/>
      <c r="AI101" s="56"/>
      <c r="AJ101" s="57"/>
      <c r="AK101" s="28"/>
      <c r="AL101" s="28"/>
    </row>
    <row r="102" customFormat="false" ht="15" hidden="false" customHeight="false" outlineLevel="0" collapsed="false">
      <c r="S102" s="1" t="s">
        <v>294</v>
      </c>
      <c r="W102" s="55" t="s">
        <v>292</v>
      </c>
      <c r="X102" s="56" t="n">
        <v>1</v>
      </c>
      <c r="Y102" s="57" t="n">
        <f aca="false">X102*8/$U$98</f>
        <v>0.0426666666666667</v>
      </c>
      <c r="Z102" s="1" t="n">
        <v>20.51</v>
      </c>
      <c r="AA102" s="28" t="n">
        <f aca="false">Y102*Z102</f>
        <v>0.875093333333333</v>
      </c>
      <c r="AH102" s="55"/>
      <c r="AI102" s="56"/>
      <c r="AJ102" s="57"/>
      <c r="AL102" s="28"/>
    </row>
    <row r="103" customFormat="false" ht="15" hidden="false" customHeight="false" outlineLevel="0" collapsed="false">
      <c r="W103" s="55"/>
      <c r="X103" s="56"/>
      <c r="Y103" s="57"/>
      <c r="AA103" s="53" t="n">
        <f aca="false">SUM(AA101:AA102)</f>
        <v>1.88202666666667</v>
      </c>
      <c r="AH103" s="55"/>
      <c r="AI103" s="56"/>
      <c r="AJ103" s="57"/>
      <c r="AL103" s="53"/>
    </row>
    <row r="104" customFormat="false" ht="15" hidden="false" customHeight="false" outlineLevel="0" collapsed="false">
      <c r="S104" s="54" t="s">
        <v>310</v>
      </c>
      <c r="AD104" s="54"/>
    </row>
    <row r="105" customFormat="false" ht="15" hidden="false" customHeight="false" outlineLevel="0" collapsed="false">
      <c r="S105" s="1" t="s">
        <v>311</v>
      </c>
      <c r="W105" s="55" t="s">
        <v>312</v>
      </c>
      <c r="Y105" s="57" t="n">
        <v>3</v>
      </c>
      <c r="Z105" s="28" t="n">
        <f aca="false">AA103</f>
        <v>1.88202666666667</v>
      </c>
      <c r="AA105" s="28" t="n">
        <f aca="false">Y105%*Z105</f>
        <v>0.0564608</v>
      </c>
      <c r="AH105" s="55"/>
      <c r="AJ105" s="57"/>
      <c r="AK105" s="28"/>
      <c r="AL105" s="28"/>
    </row>
    <row r="106" customFormat="false" ht="15" hidden="false" customHeight="false" outlineLevel="0" collapsed="false">
      <c r="S106" s="1" t="s">
        <v>662</v>
      </c>
      <c r="W106" s="55" t="s">
        <v>338</v>
      </c>
      <c r="X106" s="56" t="n">
        <v>1</v>
      </c>
      <c r="Y106" s="57" t="n">
        <f aca="false">X106*8/$U$98</f>
        <v>0.0426666666666667</v>
      </c>
      <c r="Z106" s="46" t="n">
        <v>118.64</v>
      </c>
      <c r="AA106" s="28" t="n">
        <f aca="false">Y106*Z106</f>
        <v>5.06197333333333</v>
      </c>
      <c r="AH106" s="55"/>
      <c r="AI106" s="56"/>
      <c r="AJ106" s="57"/>
      <c r="AK106" s="28"/>
      <c r="AL106" s="28"/>
    </row>
    <row r="107" customFormat="false" ht="15" hidden="false" customHeight="false" outlineLevel="0" collapsed="false">
      <c r="S107" s="1" t="s">
        <v>663</v>
      </c>
      <c r="W107" s="55" t="s">
        <v>338</v>
      </c>
      <c r="X107" s="56" t="n">
        <v>2</v>
      </c>
      <c r="Y107" s="57" t="n">
        <f aca="false">X107*8/$U$98</f>
        <v>0.0853333333333333</v>
      </c>
      <c r="Z107" s="46" t="n">
        <v>186.44</v>
      </c>
      <c r="AA107" s="28" t="n">
        <f aca="false">Y107*Z107</f>
        <v>15.9095466666667</v>
      </c>
      <c r="AH107" s="55"/>
      <c r="AI107" s="56"/>
      <c r="AJ107" s="57"/>
      <c r="AK107" s="28"/>
      <c r="AL107" s="28"/>
    </row>
    <row r="108" customFormat="false" ht="15" hidden="false" customHeight="false" outlineLevel="0" collapsed="false">
      <c r="R108" s="60"/>
      <c r="S108" s="60"/>
      <c r="T108" s="60"/>
      <c r="U108" s="60"/>
      <c r="V108" s="60"/>
      <c r="W108" s="60"/>
      <c r="X108" s="60"/>
      <c r="Y108" s="60"/>
      <c r="Z108" s="80"/>
      <c r="AA108" s="61" t="n">
        <f aca="false">SUM(AA105:AA107)</f>
        <v>21.0279808</v>
      </c>
      <c r="AD108" s="57"/>
      <c r="AK108" s="14"/>
      <c r="AL108" s="53"/>
    </row>
    <row r="110" customFormat="false" ht="15" hidden="false" customHeight="false" outlineLevel="0" collapsed="false">
      <c r="R110" s="82" t="s">
        <v>278</v>
      </c>
      <c r="S110" s="82"/>
      <c r="T110" s="82" t="s">
        <v>484</v>
      </c>
      <c r="U110" s="82"/>
    </row>
    <row r="111" customFormat="false" ht="15" hidden="false" customHeight="false" outlineLevel="0" collapsed="false">
      <c r="R111" s="82" t="s">
        <v>279</v>
      </c>
      <c r="S111" s="82" t="s">
        <v>280</v>
      </c>
      <c r="T111" s="84" t="s">
        <v>281</v>
      </c>
      <c r="U111" s="85" t="n">
        <v>50</v>
      </c>
      <c r="V111" s="84" t="s">
        <v>282</v>
      </c>
      <c r="W111" s="85" t="n">
        <f aca="false">U111</f>
        <v>50</v>
      </c>
      <c r="X111" s="82" t="s">
        <v>283</v>
      </c>
      <c r="Z111" s="84" t="s">
        <v>134</v>
      </c>
      <c r="AA111" s="86" t="n">
        <f aca="false">AA119+AA126+AA130</f>
        <v>238.3435744</v>
      </c>
    </row>
    <row r="112" customFormat="false" ht="15" hidden="false" customHeight="false" outlineLevel="0" collapsed="false">
      <c r="R112" s="82" t="s">
        <v>284</v>
      </c>
      <c r="S112" s="82" t="s">
        <v>285</v>
      </c>
      <c r="W112" s="84" t="s">
        <v>123</v>
      </c>
      <c r="X112" s="84" t="s">
        <v>286</v>
      </c>
      <c r="Y112" s="84" t="s">
        <v>287</v>
      </c>
      <c r="Z112" s="84" t="s">
        <v>288</v>
      </c>
      <c r="AA112" s="84" t="s">
        <v>289</v>
      </c>
    </row>
    <row r="113" customFormat="false" ht="15" hidden="false" customHeight="false" outlineLevel="0" collapsed="false">
      <c r="S113" s="87" t="s">
        <v>290</v>
      </c>
    </row>
    <row r="114" customFormat="false" ht="15" hidden="false" customHeight="false" outlineLevel="0" collapsed="false">
      <c r="S114" s="1" t="s">
        <v>651</v>
      </c>
      <c r="W114" s="55" t="s">
        <v>292</v>
      </c>
      <c r="X114" s="56" t="n">
        <v>0.1</v>
      </c>
      <c r="Y114" s="57" t="n">
        <f aca="false">X114*8/$U$111</f>
        <v>0.016</v>
      </c>
      <c r="Z114" s="1" t="n">
        <v>34.73</v>
      </c>
      <c r="AA114" s="28" t="n">
        <f aca="false">Y114*Z114</f>
        <v>0.55568</v>
      </c>
    </row>
    <row r="115" customFormat="false" ht="15" hidden="false" customHeight="false" outlineLevel="0" collapsed="false">
      <c r="S115" s="1" t="s">
        <v>291</v>
      </c>
      <c r="W115" s="55" t="s">
        <v>292</v>
      </c>
      <c r="X115" s="56" t="n">
        <v>1</v>
      </c>
      <c r="Y115" s="57" t="n">
        <f aca="false">X115*8/$U$111</f>
        <v>0.16</v>
      </c>
      <c r="Z115" s="28" t="n">
        <v>28.94</v>
      </c>
      <c r="AA115" s="28" t="n">
        <f aca="false">Y115*Z115</f>
        <v>4.6304</v>
      </c>
    </row>
    <row r="116" customFormat="false" ht="15" hidden="false" customHeight="false" outlineLevel="0" collapsed="false">
      <c r="S116" s="1" t="s">
        <v>293</v>
      </c>
      <c r="W116" s="55" t="s">
        <v>292</v>
      </c>
      <c r="X116" s="56" t="n">
        <v>2</v>
      </c>
      <c r="Y116" s="57" t="n">
        <f aca="false">X116*8/$U$111</f>
        <v>0.32</v>
      </c>
      <c r="Z116" s="28" t="n">
        <v>23.6</v>
      </c>
      <c r="AA116" s="28" t="n">
        <f aca="false">Y116*Z116</f>
        <v>7.552</v>
      </c>
    </row>
    <row r="117" customFormat="false" ht="15" hidden="false" customHeight="false" outlineLevel="0" collapsed="false">
      <c r="S117" s="1" t="s">
        <v>294</v>
      </c>
      <c r="W117" s="55" t="s">
        <v>292</v>
      </c>
      <c r="X117" s="56" t="n">
        <v>5</v>
      </c>
      <c r="Y117" s="57" t="n">
        <f aca="false">X117*8/$U$111</f>
        <v>0.8</v>
      </c>
      <c r="Z117" s="28" t="n">
        <v>21.36</v>
      </c>
      <c r="AA117" s="28" t="n">
        <f aca="false">Y117*Z117</f>
        <v>17.088</v>
      </c>
    </row>
    <row r="118" customFormat="false" ht="15" hidden="false" customHeight="false" outlineLevel="0" collapsed="false">
      <c r="S118" s="1" t="s">
        <v>653</v>
      </c>
      <c r="W118" s="55" t="s">
        <v>292</v>
      </c>
      <c r="X118" s="56" t="n">
        <v>1</v>
      </c>
      <c r="Y118" s="57" t="n">
        <f aca="false">X118*8/$U$111</f>
        <v>0.16</v>
      </c>
      <c r="Z118" s="1" t="n">
        <v>29.94</v>
      </c>
      <c r="AA118" s="28" t="n">
        <f aca="false">Y118*Z118</f>
        <v>4.7904</v>
      </c>
    </row>
    <row r="119" customFormat="false" ht="15" hidden="false" customHeight="false" outlineLevel="0" collapsed="false">
      <c r="W119" s="55"/>
      <c r="X119" s="56"/>
      <c r="Y119" s="57"/>
      <c r="AA119" s="86" t="n">
        <f aca="false">SUM(AA114:AA118)</f>
        <v>34.61648</v>
      </c>
    </row>
    <row r="120" customFormat="false" ht="15" hidden="false" customHeight="false" outlineLevel="0" collapsed="false">
      <c r="S120" s="87" t="s">
        <v>654</v>
      </c>
      <c r="W120" s="55"/>
      <c r="X120" s="56"/>
      <c r="Y120" s="57"/>
      <c r="AA120" s="28"/>
    </row>
    <row r="121" customFormat="false" ht="15" hidden="false" customHeight="false" outlineLevel="0" collapsed="false">
      <c r="S121" s="1" t="s">
        <v>307</v>
      </c>
      <c r="W121" s="55" t="s">
        <v>308</v>
      </c>
      <c r="Y121" s="57" t="n">
        <v>3.8</v>
      </c>
      <c r="Z121" s="28" t="n">
        <v>24.52</v>
      </c>
      <c r="AA121" s="28" t="n">
        <f aca="false">Y121*Z121</f>
        <v>93.176</v>
      </c>
    </row>
    <row r="122" customFormat="false" ht="15" hidden="false" customHeight="false" outlineLevel="0" collapsed="false">
      <c r="S122" s="1" t="s">
        <v>656</v>
      </c>
      <c r="W122" s="55" t="s">
        <v>204</v>
      </c>
      <c r="Y122" s="57" t="n">
        <v>0.08</v>
      </c>
      <c r="Z122" s="1" t="n">
        <v>6.14</v>
      </c>
      <c r="AA122" s="28" t="n">
        <f aca="false">Y122*Z122</f>
        <v>0.4912</v>
      </c>
    </row>
    <row r="123" customFormat="false" ht="15" hidden="false" customHeight="false" outlineLevel="0" collapsed="false">
      <c r="S123" s="1" t="s">
        <v>666</v>
      </c>
      <c r="W123" s="55" t="s">
        <v>440</v>
      </c>
      <c r="Y123" s="57" t="n">
        <v>0.5</v>
      </c>
      <c r="Z123" s="1" t="n">
        <v>13.93</v>
      </c>
      <c r="AA123" s="28" t="n">
        <f aca="false">Y123*Z123</f>
        <v>6.965</v>
      </c>
    </row>
    <row r="124" customFormat="false" ht="15" hidden="false" customHeight="false" outlineLevel="0" collapsed="false">
      <c r="S124" s="1" t="s">
        <v>303</v>
      </c>
      <c r="W124" s="55" t="s">
        <v>204</v>
      </c>
      <c r="Y124" s="57" t="n">
        <v>0.93</v>
      </c>
      <c r="Z124" s="88" t="n">
        <v>70.92</v>
      </c>
      <c r="AA124" s="28" t="n">
        <f aca="false">Y124*Z124</f>
        <v>65.9556</v>
      </c>
    </row>
    <row r="125" customFormat="false" ht="15" hidden="false" customHeight="false" outlineLevel="0" collapsed="false">
      <c r="S125" s="1" t="s">
        <v>667</v>
      </c>
      <c r="W125" s="55" t="s">
        <v>204</v>
      </c>
      <c r="Y125" s="57" t="n">
        <v>0.4</v>
      </c>
      <c r="Z125" s="88" t="n">
        <v>80</v>
      </c>
      <c r="AA125" s="28" t="n">
        <f aca="false">Y125*Z125</f>
        <v>32</v>
      </c>
    </row>
    <row r="126" customFormat="false" ht="15" hidden="false" customHeight="false" outlineLevel="0" collapsed="false">
      <c r="W126" s="55"/>
      <c r="Y126" s="57"/>
      <c r="Z126" s="28"/>
      <c r="AA126" s="86" t="n">
        <f aca="false">SUM(AA121:AA125)</f>
        <v>198.5878</v>
      </c>
    </row>
    <row r="127" customFormat="false" ht="15" hidden="false" customHeight="false" outlineLevel="0" collapsed="false">
      <c r="S127" s="87" t="s">
        <v>310</v>
      </c>
    </row>
    <row r="128" customFormat="false" ht="15" hidden="false" customHeight="false" outlineLevel="0" collapsed="false">
      <c r="S128" s="1" t="s">
        <v>311</v>
      </c>
      <c r="W128" s="55" t="s">
        <v>312</v>
      </c>
      <c r="Y128" s="57" t="n">
        <v>3</v>
      </c>
      <c r="Z128" s="28" t="n">
        <f aca="false">AA119</f>
        <v>34.61648</v>
      </c>
      <c r="AA128" s="28" t="n">
        <f aca="false">Y128%*Z128</f>
        <v>1.0384944</v>
      </c>
    </row>
    <row r="129" customFormat="false" ht="15" hidden="false" customHeight="false" outlineLevel="0" collapsed="false">
      <c r="S129" s="1" t="s">
        <v>668</v>
      </c>
      <c r="W129" s="55" t="s">
        <v>338</v>
      </c>
      <c r="X129" s="56" t="n">
        <v>1</v>
      </c>
      <c r="Y129" s="57" t="n">
        <f aca="false">X129*8/$U$111</f>
        <v>0.16</v>
      </c>
      <c r="Z129" s="28" t="n">
        <v>25.63</v>
      </c>
      <c r="AA129" s="28" t="n">
        <f aca="false">Y129*Z129</f>
        <v>4.1008</v>
      </c>
    </row>
    <row r="130" customFormat="false" ht="15" hidden="false" customHeight="false" outlineLevel="0" collapsed="false">
      <c r="R130" s="60"/>
      <c r="S130" s="60"/>
      <c r="T130" s="60"/>
      <c r="U130" s="60"/>
      <c r="V130" s="60"/>
      <c r="W130" s="60"/>
      <c r="X130" s="60"/>
      <c r="Y130" s="60"/>
      <c r="Z130" s="60"/>
      <c r="AA130" s="89" t="n">
        <f aca="false">SUM(AA128:AA129)</f>
        <v>5.1392944</v>
      </c>
    </row>
    <row r="132" customFormat="false" ht="15" hidden="false" customHeight="false" outlineLevel="0" collapsed="false">
      <c r="R132" s="82" t="s">
        <v>278</v>
      </c>
      <c r="S132" s="82"/>
      <c r="T132" s="82" t="s">
        <v>669</v>
      </c>
      <c r="U132" s="82"/>
    </row>
    <row r="133" customFormat="false" ht="15" hidden="false" customHeight="false" outlineLevel="0" collapsed="false">
      <c r="R133" s="82" t="s">
        <v>279</v>
      </c>
      <c r="S133" s="82" t="s">
        <v>280</v>
      </c>
      <c r="T133" s="84" t="s">
        <v>281</v>
      </c>
      <c r="U133" s="85" t="n">
        <v>110</v>
      </c>
      <c r="V133" s="84" t="s">
        <v>282</v>
      </c>
      <c r="W133" s="85" t="n">
        <f aca="false">U133</f>
        <v>110</v>
      </c>
      <c r="X133" s="82" t="s">
        <v>283</v>
      </c>
      <c r="Z133" s="84" t="s">
        <v>134</v>
      </c>
      <c r="AA133" s="86" t="n">
        <f aca="false">AA139+AA145+AA149</f>
        <v>39.6208818181818</v>
      </c>
    </row>
    <row r="134" customFormat="false" ht="15" hidden="false" customHeight="false" outlineLevel="0" collapsed="false">
      <c r="R134" s="82" t="s">
        <v>284</v>
      </c>
      <c r="S134" s="82" t="s">
        <v>285</v>
      </c>
      <c r="W134" s="84" t="s">
        <v>123</v>
      </c>
      <c r="X134" s="84" t="s">
        <v>286</v>
      </c>
      <c r="Y134" s="84" t="s">
        <v>287</v>
      </c>
      <c r="Z134" s="84" t="s">
        <v>288</v>
      </c>
      <c r="AA134" s="84" t="s">
        <v>289</v>
      </c>
    </row>
    <row r="135" customFormat="false" ht="15" hidden="false" customHeight="false" outlineLevel="0" collapsed="false">
      <c r="S135" s="87" t="s">
        <v>290</v>
      </c>
    </row>
    <row r="136" customFormat="false" ht="15" hidden="false" customHeight="false" outlineLevel="0" collapsed="false">
      <c r="S136" s="1" t="s">
        <v>291</v>
      </c>
      <c r="W136" s="55" t="s">
        <v>292</v>
      </c>
      <c r="X136" s="56" t="n">
        <v>2</v>
      </c>
      <c r="Y136" s="57" t="n">
        <f aca="false">X136*8/$U$133</f>
        <v>0.145454545454545</v>
      </c>
      <c r="Z136" s="28" t="n">
        <v>28.94</v>
      </c>
      <c r="AA136" s="28" t="n">
        <f aca="false">Y136*Z136</f>
        <v>4.20945454545455</v>
      </c>
    </row>
    <row r="137" customFormat="false" ht="15" hidden="false" customHeight="false" outlineLevel="0" collapsed="false">
      <c r="S137" s="1" t="s">
        <v>293</v>
      </c>
      <c r="W137" s="55" t="s">
        <v>292</v>
      </c>
      <c r="X137" s="56" t="n">
        <v>1</v>
      </c>
      <c r="Y137" s="57" t="n">
        <f aca="false">X137*8/$U$133</f>
        <v>0.0727272727272727</v>
      </c>
      <c r="Z137" s="28" t="n">
        <v>23.6</v>
      </c>
      <c r="AA137" s="28" t="n">
        <f aca="false">Y137*Z137</f>
        <v>1.71636363636364</v>
      </c>
    </row>
    <row r="138" customFormat="false" ht="15" hidden="false" customHeight="false" outlineLevel="0" collapsed="false">
      <c r="S138" s="1" t="s">
        <v>294</v>
      </c>
      <c r="W138" s="55" t="s">
        <v>292</v>
      </c>
      <c r="X138" s="56" t="n">
        <v>6</v>
      </c>
      <c r="Y138" s="57" t="n">
        <f aca="false">X138*8/$U$133</f>
        <v>0.436363636363636</v>
      </c>
      <c r="Z138" s="28" t="n">
        <v>21.36</v>
      </c>
      <c r="AA138" s="28" t="n">
        <f aca="false">Y138*Z138</f>
        <v>9.32072727272727</v>
      </c>
    </row>
    <row r="139" customFormat="false" ht="15" hidden="false" customHeight="false" outlineLevel="0" collapsed="false">
      <c r="W139" s="55"/>
      <c r="X139" s="56"/>
      <c r="Y139" s="57"/>
      <c r="AA139" s="86" t="n">
        <f aca="false">SUM(AA136:AA138)</f>
        <v>15.2465454545455</v>
      </c>
    </row>
    <row r="140" customFormat="false" ht="15" hidden="false" customHeight="false" outlineLevel="0" collapsed="false">
      <c r="S140" s="87" t="s">
        <v>654</v>
      </c>
      <c r="W140" s="55"/>
      <c r="X140" s="56"/>
      <c r="Y140" s="57"/>
      <c r="AA140" s="28"/>
    </row>
    <row r="141" customFormat="false" ht="15" hidden="false" customHeight="false" outlineLevel="0" collapsed="false">
      <c r="S141" s="1" t="s">
        <v>307</v>
      </c>
      <c r="W141" s="55" t="s">
        <v>308</v>
      </c>
      <c r="Y141" s="57" t="n">
        <v>0.42</v>
      </c>
      <c r="Z141" s="28" t="n">
        <v>24.52</v>
      </c>
      <c r="AA141" s="28" t="n">
        <f aca="false">Y141*Z141</f>
        <v>10.2984</v>
      </c>
    </row>
    <row r="142" customFormat="false" ht="15" hidden="false" customHeight="false" outlineLevel="0" collapsed="false">
      <c r="S142" s="1" t="s">
        <v>656</v>
      </c>
      <c r="W142" s="55" t="s">
        <v>204</v>
      </c>
      <c r="Y142" s="57" t="n">
        <v>0.025</v>
      </c>
      <c r="Z142" s="1" t="n">
        <v>6.14</v>
      </c>
      <c r="AA142" s="28" t="n">
        <f aca="false">Y142*Z142</f>
        <v>0.1535</v>
      </c>
    </row>
    <row r="143" customFormat="false" ht="15" hidden="false" customHeight="false" outlineLevel="0" collapsed="false">
      <c r="S143" s="1" t="s">
        <v>303</v>
      </c>
      <c r="W143" s="55" t="s">
        <v>204</v>
      </c>
      <c r="Y143" s="57" t="n">
        <v>0.162</v>
      </c>
      <c r="Z143" s="88" t="n">
        <v>70.92</v>
      </c>
      <c r="AA143" s="28" t="n">
        <f aca="false">Y143*Z143</f>
        <v>11.48904</v>
      </c>
    </row>
    <row r="144" customFormat="false" ht="15" hidden="false" customHeight="false" outlineLevel="0" collapsed="false">
      <c r="S144" s="1" t="s">
        <v>670</v>
      </c>
      <c r="W144" s="55" t="s">
        <v>306</v>
      </c>
      <c r="Y144" s="57" t="n">
        <v>0.18</v>
      </c>
      <c r="Z144" s="28" t="n">
        <v>5.8</v>
      </c>
      <c r="AA144" s="28" t="n">
        <f aca="false">Y144*Z144</f>
        <v>1.044</v>
      </c>
    </row>
    <row r="145" customFormat="false" ht="15" hidden="false" customHeight="false" outlineLevel="0" collapsed="false">
      <c r="W145" s="55"/>
      <c r="Y145" s="57"/>
      <c r="Z145" s="28"/>
      <c r="AA145" s="86" t="n">
        <f aca="false">SUM(AA141:AA144)</f>
        <v>22.98494</v>
      </c>
    </row>
    <row r="146" customFormat="false" ht="15" hidden="false" customHeight="false" outlineLevel="0" collapsed="false">
      <c r="S146" s="87" t="s">
        <v>310</v>
      </c>
    </row>
    <row r="147" customFormat="false" ht="15" hidden="false" customHeight="false" outlineLevel="0" collapsed="false">
      <c r="S147" s="1" t="s">
        <v>311</v>
      </c>
      <c r="W147" s="55" t="s">
        <v>312</v>
      </c>
      <c r="Y147" s="57" t="n">
        <v>3</v>
      </c>
      <c r="Z147" s="28" t="n">
        <f aca="false">AA139</f>
        <v>15.2465454545455</v>
      </c>
      <c r="AA147" s="28" t="n">
        <f aca="false">Y147%*Z147</f>
        <v>0.457396363636364</v>
      </c>
    </row>
    <row r="148" customFormat="false" ht="15" hidden="false" customHeight="false" outlineLevel="0" collapsed="false">
      <c r="S148" s="1" t="s">
        <v>668</v>
      </c>
      <c r="W148" s="55" t="s">
        <v>338</v>
      </c>
      <c r="X148" s="56" t="n">
        <v>0.5</v>
      </c>
      <c r="Y148" s="57" t="n">
        <f aca="false">X148*8/$U$133</f>
        <v>0.0363636363636364</v>
      </c>
      <c r="Z148" s="28" t="n">
        <v>25.63</v>
      </c>
      <c r="AA148" s="28" t="n">
        <f aca="false">Y148*Z148</f>
        <v>0.932</v>
      </c>
    </row>
    <row r="149" customFormat="false" ht="15" hidden="false" customHeight="false" outlineLevel="0" collapsed="false">
      <c r="R149" s="60"/>
      <c r="S149" s="60"/>
      <c r="T149" s="60"/>
      <c r="U149" s="60"/>
      <c r="V149" s="60"/>
      <c r="W149" s="60"/>
      <c r="X149" s="60"/>
      <c r="Y149" s="60"/>
      <c r="Z149" s="60"/>
      <c r="AA149" s="89" t="n">
        <f aca="false">SUM(AA147:AA148)</f>
        <v>1.38939636363636</v>
      </c>
    </row>
    <row r="151" customFormat="false" ht="15" hidden="false" customHeight="false" outlineLevel="0" collapsed="false">
      <c r="R151" s="82" t="s">
        <v>278</v>
      </c>
      <c r="S151" s="82"/>
      <c r="T151" s="82" t="s">
        <v>497</v>
      </c>
      <c r="U151" s="82"/>
    </row>
    <row r="152" customFormat="false" ht="15" hidden="false" customHeight="false" outlineLevel="0" collapsed="false">
      <c r="R152" s="82" t="s">
        <v>279</v>
      </c>
      <c r="S152" s="82" t="s">
        <v>417</v>
      </c>
      <c r="T152" s="84" t="s">
        <v>281</v>
      </c>
      <c r="U152" s="85" t="n">
        <v>25</v>
      </c>
      <c r="V152" s="84" t="s">
        <v>282</v>
      </c>
      <c r="W152" s="85" t="n">
        <f aca="false">U152</f>
        <v>25</v>
      </c>
      <c r="X152" s="82" t="s">
        <v>283</v>
      </c>
      <c r="Z152" s="84" t="s">
        <v>204</v>
      </c>
      <c r="AA152" s="86" t="n">
        <f aca="false">AA158+AA166+AA171</f>
        <v>507.816056</v>
      </c>
    </row>
    <row r="153" customFormat="false" ht="15" hidden="false" customHeight="false" outlineLevel="0" collapsed="false">
      <c r="R153" s="82" t="s">
        <v>284</v>
      </c>
      <c r="S153" s="82" t="s">
        <v>285</v>
      </c>
      <c r="W153" s="84" t="s">
        <v>123</v>
      </c>
      <c r="X153" s="84" t="s">
        <v>286</v>
      </c>
      <c r="Y153" s="84" t="s">
        <v>287</v>
      </c>
      <c r="Z153" s="84" t="s">
        <v>288</v>
      </c>
      <c r="AA153" s="84" t="s">
        <v>289</v>
      </c>
    </row>
    <row r="154" customFormat="false" ht="15" hidden="false" customHeight="false" outlineLevel="0" collapsed="false">
      <c r="S154" s="87" t="s">
        <v>290</v>
      </c>
    </row>
    <row r="155" customFormat="false" ht="15" hidden="false" customHeight="false" outlineLevel="0" collapsed="false">
      <c r="S155" s="1" t="s">
        <v>291</v>
      </c>
      <c r="W155" s="55" t="s">
        <v>292</v>
      </c>
      <c r="X155" s="56" t="n">
        <v>2</v>
      </c>
      <c r="Y155" s="57" t="n">
        <f aca="false">X155*8/$U$152</f>
        <v>0.64</v>
      </c>
      <c r="Z155" s="28" t="n">
        <v>28.94</v>
      </c>
      <c r="AA155" s="28" t="n">
        <f aca="false">Y155*Z155</f>
        <v>18.5216</v>
      </c>
    </row>
    <row r="156" customFormat="false" ht="15" hidden="false" customHeight="false" outlineLevel="0" collapsed="false">
      <c r="S156" s="1" t="s">
        <v>293</v>
      </c>
      <c r="W156" s="55" t="s">
        <v>292</v>
      </c>
      <c r="X156" s="56" t="n">
        <v>2</v>
      </c>
      <c r="Y156" s="57" t="n">
        <f aca="false">X156*8/$U$152</f>
        <v>0.64</v>
      </c>
      <c r="Z156" s="28" t="n">
        <v>23.6</v>
      </c>
      <c r="AA156" s="28" t="n">
        <f aca="false">Y156*Z156</f>
        <v>15.104</v>
      </c>
    </row>
    <row r="157" customFormat="false" ht="15" hidden="false" customHeight="false" outlineLevel="0" collapsed="false">
      <c r="S157" s="1" t="s">
        <v>294</v>
      </c>
      <c r="W157" s="55" t="s">
        <v>292</v>
      </c>
      <c r="X157" s="56" t="n">
        <v>8</v>
      </c>
      <c r="Y157" s="57" t="n">
        <f aca="false">X157*8/$U$152</f>
        <v>2.56</v>
      </c>
      <c r="Z157" s="28" t="n">
        <v>21.36</v>
      </c>
      <c r="AA157" s="28" t="n">
        <f aca="false">Y157*Z157</f>
        <v>54.6816</v>
      </c>
    </row>
    <row r="158" customFormat="false" ht="15" hidden="false" customHeight="false" outlineLevel="0" collapsed="false">
      <c r="W158" s="55"/>
      <c r="X158" s="56"/>
      <c r="Y158" s="57"/>
      <c r="AA158" s="86" t="n">
        <f aca="false">SUM(AA155:AA157)</f>
        <v>88.3072</v>
      </c>
    </row>
    <row r="159" customFormat="false" ht="15" hidden="false" customHeight="false" outlineLevel="0" collapsed="false">
      <c r="S159" s="87" t="s">
        <v>654</v>
      </c>
      <c r="W159" s="55"/>
      <c r="X159" s="56"/>
      <c r="Y159" s="57"/>
      <c r="AA159" s="28"/>
    </row>
    <row r="160" customFormat="false" ht="15" hidden="false" customHeight="false" outlineLevel="0" collapsed="false">
      <c r="S160" s="1" t="s">
        <v>673</v>
      </c>
      <c r="W160" s="55" t="s">
        <v>204</v>
      </c>
      <c r="Y160" s="57" t="n">
        <v>0.53</v>
      </c>
      <c r="Z160" s="28" t="n">
        <v>55.08</v>
      </c>
      <c r="AA160" s="28" t="n">
        <f aca="false">Y160*Z160</f>
        <v>29.1924</v>
      </c>
    </row>
    <row r="161" customFormat="false" ht="15" hidden="false" customHeight="false" outlineLevel="0" collapsed="false">
      <c r="S161" s="1" t="s">
        <v>674</v>
      </c>
      <c r="W161" s="55" t="s">
        <v>204</v>
      </c>
      <c r="Y161" s="57" t="n">
        <v>0.52</v>
      </c>
      <c r="Z161" s="28" t="n">
        <v>47</v>
      </c>
      <c r="AA161" s="28" t="n">
        <f aca="false">Y161*Z161</f>
        <v>24.44</v>
      </c>
    </row>
    <row r="162" customFormat="false" ht="15" hidden="false" customHeight="false" outlineLevel="0" collapsed="false">
      <c r="S162" s="1" t="s">
        <v>307</v>
      </c>
      <c r="W162" s="55" t="s">
        <v>308</v>
      </c>
      <c r="Y162" s="57" t="n">
        <v>9.73</v>
      </c>
      <c r="Z162" s="28" t="n">
        <v>24.52</v>
      </c>
      <c r="AA162" s="28" t="n">
        <f aca="false">Y162*Z162</f>
        <v>238.5796</v>
      </c>
    </row>
    <row r="163" customFormat="false" ht="15" hidden="false" customHeight="false" outlineLevel="0" collapsed="false">
      <c r="S163" s="1" t="s">
        <v>656</v>
      </c>
      <c r="W163" s="55" t="s">
        <v>204</v>
      </c>
      <c r="Y163" s="57" t="n">
        <v>0.186</v>
      </c>
      <c r="Z163" s="1" t="n">
        <v>6.14</v>
      </c>
      <c r="AA163" s="28" t="n">
        <f aca="false">Y163*Z163</f>
        <v>1.14204</v>
      </c>
    </row>
    <row r="164" customFormat="false" ht="15" hidden="false" customHeight="false" outlineLevel="0" collapsed="false">
      <c r="S164" s="1" t="s">
        <v>666</v>
      </c>
      <c r="W164" s="55" t="s">
        <v>440</v>
      </c>
      <c r="Y164" s="57" t="n">
        <v>0.36</v>
      </c>
      <c r="Z164" s="1" t="n">
        <v>13.93</v>
      </c>
      <c r="AA164" s="28" t="n">
        <f aca="false">Y164*Z164</f>
        <v>5.0148</v>
      </c>
    </row>
    <row r="165" customFormat="false" ht="15" hidden="false" customHeight="false" outlineLevel="0" collapsed="false">
      <c r="S165" s="1" t="s">
        <v>675</v>
      </c>
      <c r="W165" s="55" t="s">
        <v>440</v>
      </c>
      <c r="Y165" s="57" t="n">
        <v>4.6</v>
      </c>
      <c r="Z165" s="88" t="n">
        <v>23.73</v>
      </c>
      <c r="AA165" s="28" t="n">
        <f aca="false">Y165*Z165</f>
        <v>109.158</v>
      </c>
    </row>
    <row r="166" customFormat="false" ht="15" hidden="false" customHeight="false" outlineLevel="0" collapsed="false">
      <c r="W166" s="55"/>
      <c r="Y166" s="57"/>
      <c r="Z166" s="28"/>
      <c r="AA166" s="86" t="n">
        <f aca="false">SUM(AA160:AA165)</f>
        <v>407.52684</v>
      </c>
    </row>
    <row r="167" customFormat="false" ht="15" hidden="false" customHeight="false" outlineLevel="0" collapsed="false">
      <c r="S167" s="87" t="s">
        <v>310</v>
      </c>
    </row>
    <row r="168" customFormat="false" ht="15" hidden="false" customHeight="false" outlineLevel="0" collapsed="false">
      <c r="S168" s="1" t="s">
        <v>311</v>
      </c>
      <c r="W168" s="55" t="s">
        <v>312</v>
      </c>
      <c r="Y168" s="57" t="n">
        <v>3</v>
      </c>
      <c r="Z168" s="28" t="n">
        <f aca="false">AA158</f>
        <v>88.3072</v>
      </c>
      <c r="AA168" s="28" t="n">
        <f aca="false">Y168%*Z168</f>
        <v>2.649216</v>
      </c>
    </row>
    <row r="169" customFormat="false" ht="15" hidden="false" customHeight="false" outlineLevel="0" collapsed="false">
      <c r="S169" s="1" t="s">
        <v>668</v>
      </c>
      <c r="W169" s="55" t="s">
        <v>338</v>
      </c>
      <c r="X169" s="56" t="n">
        <v>1</v>
      </c>
      <c r="Y169" s="57" t="n">
        <f aca="false">X169*8/$U$152</f>
        <v>0.32</v>
      </c>
      <c r="Z169" s="28" t="n">
        <v>25.63</v>
      </c>
      <c r="AA169" s="28" t="n">
        <f aca="false">Y169*Z169</f>
        <v>8.2016</v>
      </c>
    </row>
    <row r="170" customFormat="false" ht="15" hidden="false" customHeight="false" outlineLevel="0" collapsed="false">
      <c r="S170" s="1" t="s">
        <v>676</v>
      </c>
      <c r="W170" s="55" t="s">
        <v>338</v>
      </c>
      <c r="X170" s="56" t="n">
        <v>0.5</v>
      </c>
      <c r="Y170" s="57" t="n">
        <f aca="false">X170*8/$U$152</f>
        <v>0.16</v>
      </c>
      <c r="Z170" s="28" t="n">
        <v>7.07</v>
      </c>
      <c r="AA170" s="28" t="n">
        <f aca="false">Y170*Z170</f>
        <v>1.1312</v>
      </c>
    </row>
    <row r="171" customFormat="false" ht="15" hidden="false" customHeight="false" outlineLevel="0" collapsed="false">
      <c r="R171" s="60"/>
      <c r="S171" s="60"/>
      <c r="T171" s="60"/>
      <c r="U171" s="60"/>
      <c r="V171" s="60"/>
      <c r="W171" s="60"/>
      <c r="X171" s="60"/>
      <c r="Y171" s="60"/>
      <c r="Z171" s="60"/>
      <c r="AA171" s="89" t="n">
        <f aca="false">SUM(AA168:AA170)</f>
        <v>11.982016</v>
      </c>
    </row>
    <row r="173" customFormat="false" ht="15" hidden="false" customHeight="false" outlineLevel="0" collapsed="false">
      <c r="R173" s="82" t="s">
        <v>278</v>
      </c>
      <c r="S173" s="82"/>
      <c r="T173" s="82" t="s">
        <v>677</v>
      </c>
      <c r="U173" s="82"/>
    </row>
    <row r="174" customFormat="false" ht="15" hidden="false" customHeight="false" outlineLevel="0" collapsed="false">
      <c r="R174" s="82" t="s">
        <v>279</v>
      </c>
      <c r="S174" s="82" t="s">
        <v>280</v>
      </c>
      <c r="T174" s="84" t="s">
        <v>281</v>
      </c>
      <c r="U174" s="85" t="n">
        <v>8</v>
      </c>
      <c r="V174" s="84" t="s">
        <v>282</v>
      </c>
      <c r="W174" s="85" t="n">
        <f aca="false">U174</f>
        <v>8</v>
      </c>
      <c r="X174" s="82" t="s">
        <v>283</v>
      </c>
      <c r="Z174" s="84" t="s">
        <v>134</v>
      </c>
      <c r="AA174" s="86" t="n">
        <f aca="false">AA179+AA184+AA187</f>
        <v>75.1142</v>
      </c>
    </row>
    <row r="175" customFormat="false" ht="15" hidden="false" customHeight="false" outlineLevel="0" collapsed="false">
      <c r="R175" s="82" t="s">
        <v>284</v>
      </c>
      <c r="S175" s="82" t="s">
        <v>285</v>
      </c>
      <c r="W175" s="84" t="s">
        <v>123</v>
      </c>
      <c r="X175" s="84" t="s">
        <v>286</v>
      </c>
      <c r="Y175" s="84" t="s">
        <v>287</v>
      </c>
      <c r="Z175" s="84" t="s">
        <v>288</v>
      </c>
      <c r="AA175" s="84" t="s">
        <v>289</v>
      </c>
    </row>
    <row r="176" customFormat="false" ht="15" hidden="false" customHeight="false" outlineLevel="0" collapsed="false">
      <c r="S176" s="87" t="s">
        <v>290</v>
      </c>
    </row>
    <row r="177" customFormat="false" ht="15" hidden="false" customHeight="false" outlineLevel="0" collapsed="false">
      <c r="S177" s="1" t="s">
        <v>291</v>
      </c>
      <c r="W177" s="55" t="s">
        <v>292</v>
      </c>
      <c r="X177" s="56" t="n">
        <v>1</v>
      </c>
      <c r="Y177" s="57" t="n">
        <f aca="false">X177*8/$U$174</f>
        <v>1</v>
      </c>
      <c r="Z177" s="28" t="n">
        <v>28.94</v>
      </c>
      <c r="AA177" s="28" t="n">
        <f aca="false">Y177*Z177</f>
        <v>28.94</v>
      </c>
    </row>
    <row r="178" customFormat="false" ht="15" hidden="false" customHeight="false" outlineLevel="0" collapsed="false">
      <c r="S178" s="1" t="s">
        <v>293</v>
      </c>
      <c r="W178" s="55" t="s">
        <v>292</v>
      </c>
      <c r="X178" s="56" t="n">
        <v>1</v>
      </c>
      <c r="Y178" s="57" t="n">
        <f aca="false">X178*8/$U$174</f>
        <v>1</v>
      </c>
      <c r="Z178" s="28" t="n">
        <v>23.6</v>
      </c>
      <c r="AA178" s="28" t="n">
        <f aca="false">Y178*Z178</f>
        <v>23.6</v>
      </c>
    </row>
    <row r="179" customFormat="false" ht="15" hidden="false" customHeight="false" outlineLevel="0" collapsed="false">
      <c r="W179" s="55"/>
      <c r="X179" s="56"/>
      <c r="Y179" s="57"/>
      <c r="AA179" s="86" t="n">
        <f aca="false">SUM(AA177:AA178)</f>
        <v>52.54</v>
      </c>
    </row>
    <row r="180" customFormat="false" ht="15" hidden="false" customHeight="false" outlineLevel="0" collapsed="false">
      <c r="S180" s="87" t="s">
        <v>654</v>
      </c>
      <c r="W180" s="55"/>
      <c r="X180" s="56"/>
      <c r="Y180" s="57"/>
      <c r="AA180" s="28"/>
    </row>
    <row r="181" customFormat="false" ht="15" hidden="false" customHeight="false" outlineLevel="0" collapsed="false">
      <c r="S181" s="1" t="s">
        <v>678</v>
      </c>
      <c r="W181" s="55" t="s">
        <v>297</v>
      </c>
      <c r="Y181" s="57" t="n">
        <v>0.26</v>
      </c>
      <c r="Z181" s="28" t="n">
        <v>2.64</v>
      </c>
      <c r="AA181" s="28" t="n">
        <f aca="false">Y181*Z181</f>
        <v>0.6864</v>
      </c>
    </row>
    <row r="182" customFormat="false" ht="15" hidden="false" customHeight="false" outlineLevel="0" collapsed="false">
      <c r="S182" s="1" t="s">
        <v>302</v>
      </c>
      <c r="W182" s="55" t="s">
        <v>297</v>
      </c>
      <c r="Y182" s="57" t="n">
        <v>0.16</v>
      </c>
      <c r="Z182" s="28" t="n">
        <v>5.51</v>
      </c>
      <c r="AA182" s="28" t="n">
        <f aca="false">Y182*Z182</f>
        <v>0.8816</v>
      </c>
    </row>
    <row r="183" customFormat="false" ht="15" hidden="false" customHeight="false" outlineLevel="0" collapsed="false">
      <c r="S183" s="1" t="s">
        <v>670</v>
      </c>
      <c r="W183" s="55" t="s">
        <v>306</v>
      </c>
      <c r="Y183" s="57" t="n">
        <v>3.35</v>
      </c>
      <c r="Z183" s="28" t="n">
        <v>5.8</v>
      </c>
      <c r="AA183" s="28" t="n">
        <f aca="false">Y183*Z183</f>
        <v>19.43</v>
      </c>
    </row>
    <row r="184" customFormat="false" ht="15" hidden="false" customHeight="false" outlineLevel="0" collapsed="false">
      <c r="W184" s="55"/>
      <c r="Y184" s="57"/>
      <c r="Z184" s="28"/>
      <c r="AA184" s="86" t="n">
        <f aca="false">SUM(AA181:AA183)</f>
        <v>20.998</v>
      </c>
    </row>
    <row r="185" customFormat="false" ht="15" hidden="false" customHeight="false" outlineLevel="0" collapsed="false">
      <c r="S185" s="87" t="s">
        <v>310</v>
      </c>
    </row>
    <row r="186" customFormat="false" ht="15" hidden="false" customHeight="false" outlineLevel="0" collapsed="false">
      <c r="S186" s="1" t="s">
        <v>311</v>
      </c>
      <c r="W186" s="55" t="s">
        <v>312</v>
      </c>
      <c r="Y186" s="57" t="n">
        <v>3</v>
      </c>
      <c r="Z186" s="28" t="n">
        <f aca="false">AA179</f>
        <v>52.54</v>
      </c>
      <c r="AA186" s="28" t="n">
        <f aca="false">Y186%*Z186</f>
        <v>1.5762</v>
      </c>
    </row>
    <row r="187" customFormat="false" ht="15" hidden="false" customHeight="false" outlineLevel="0" collapsed="false">
      <c r="R187" s="60"/>
      <c r="S187" s="60"/>
      <c r="T187" s="60"/>
      <c r="U187" s="60"/>
      <c r="V187" s="60"/>
      <c r="W187" s="60"/>
      <c r="X187" s="60"/>
      <c r="Y187" s="60"/>
      <c r="Z187" s="60"/>
      <c r="AA187" s="89" t="n">
        <f aca="false">SUM(AA186)</f>
        <v>1.5762</v>
      </c>
    </row>
    <row r="190" customFormat="false" ht="15" hidden="false" customHeight="false" outlineLevel="0" collapsed="false">
      <c r="R190" s="82" t="s">
        <v>278</v>
      </c>
      <c r="S190" s="82"/>
      <c r="T190" s="82" t="s">
        <v>499</v>
      </c>
      <c r="U190" s="82"/>
    </row>
    <row r="191" customFormat="false" ht="15" hidden="false" customHeight="false" outlineLevel="0" collapsed="false">
      <c r="R191" s="82" t="s">
        <v>279</v>
      </c>
      <c r="S191" s="82" t="s">
        <v>679</v>
      </c>
      <c r="T191" s="84" t="s">
        <v>281</v>
      </c>
      <c r="U191" s="85" t="n">
        <v>250</v>
      </c>
      <c r="V191" s="84" t="s">
        <v>282</v>
      </c>
      <c r="W191" s="85" t="n">
        <f aca="false">U191</f>
        <v>250</v>
      </c>
      <c r="X191" s="82" t="s">
        <v>283</v>
      </c>
      <c r="Z191" s="84" t="s">
        <v>297</v>
      </c>
      <c r="AA191" s="86" t="n">
        <f aca="false">AA196+AA200+AA204</f>
        <v>5.5639628445</v>
      </c>
    </row>
    <row r="192" customFormat="false" ht="15" hidden="false" customHeight="false" outlineLevel="0" collapsed="false">
      <c r="R192" s="82" t="s">
        <v>284</v>
      </c>
      <c r="S192" s="82" t="s">
        <v>285</v>
      </c>
      <c r="W192" s="84" t="s">
        <v>123</v>
      </c>
      <c r="X192" s="84" t="s">
        <v>286</v>
      </c>
      <c r="Y192" s="84" t="s">
        <v>287</v>
      </c>
      <c r="Z192" s="84" t="s">
        <v>288</v>
      </c>
      <c r="AA192" s="84" t="s">
        <v>289</v>
      </c>
    </row>
    <row r="193" customFormat="false" ht="15" hidden="false" customHeight="false" outlineLevel="0" collapsed="false">
      <c r="S193" s="125" t="s">
        <v>290</v>
      </c>
      <c r="X193" s="56"/>
    </row>
    <row r="194" customFormat="false" ht="15" hidden="false" customHeight="false" outlineLevel="0" collapsed="false">
      <c r="S194" s="1" t="s">
        <v>291</v>
      </c>
      <c r="W194" s="55" t="s">
        <v>292</v>
      </c>
      <c r="X194" s="56" t="n">
        <v>1</v>
      </c>
      <c r="Y194" s="57" t="n">
        <f aca="false">X194*8/$U$191</f>
        <v>0.032</v>
      </c>
      <c r="Z194" s="28" t="n">
        <v>28.94</v>
      </c>
      <c r="AA194" s="28" t="n">
        <f aca="false">Y194*Z194</f>
        <v>0.92608</v>
      </c>
    </row>
    <row r="195" customFormat="false" ht="15" hidden="false" customHeight="false" outlineLevel="0" collapsed="false">
      <c r="S195" s="1" t="s">
        <v>680</v>
      </c>
      <c r="W195" s="55" t="s">
        <v>292</v>
      </c>
      <c r="X195" s="56" t="n">
        <v>1</v>
      </c>
      <c r="Y195" s="57" t="n">
        <f aca="false">X195*8/$U$191</f>
        <v>0.032</v>
      </c>
      <c r="Z195" s="28" t="n">
        <v>23.6</v>
      </c>
      <c r="AA195" s="28" t="n">
        <f aca="false">Y195*Z195</f>
        <v>0.7552</v>
      </c>
    </row>
    <row r="196" customFormat="false" ht="15" hidden="false" customHeight="false" outlineLevel="0" collapsed="false">
      <c r="W196" s="55"/>
      <c r="X196" s="56"/>
      <c r="AA196" s="124" t="n">
        <f aca="false">SUM(AA194:AA195)</f>
        <v>1.68128</v>
      </c>
    </row>
    <row r="197" customFormat="false" ht="15" hidden="false" customHeight="false" outlineLevel="0" collapsed="false">
      <c r="S197" s="125" t="s">
        <v>295</v>
      </c>
      <c r="W197" s="55"/>
      <c r="X197" s="56"/>
      <c r="Y197" s="99"/>
    </row>
    <row r="198" customFormat="false" ht="15" hidden="false" customHeight="false" outlineLevel="0" collapsed="false">
      <c r="S198" s="1" t="s">
        <v>296</v>
      </c>
      <c r="W198" s="55" t="s">
        <v>297</v>
      </c>
      <c r="X198" s="56"/>
      <c r="Y198" s="99" t="n">
        <v>0.03</v>
      </c>
      <c r="Z198" s="28" t="n">
        <v>2.64</v>
      </c>
      <c r="AA198" s="28" t="n">
        <f aca="false">Y198*Z198</f>
        <v>0.0792</v>
      </c>
    </row>
    <row r="199" customFormat="false" ht="15" hidden="false" customHeight="false" outlineLevel="0" collapsed="false">
      <c r="S199" s="1" t="s">
        <v>681</v>
      </c>
      <c r="W199" s="55" t="s">
        <v>297</v>
      </c>
      <c r="X199" s="56"/>
      <c r="Y199" s="99" t="n">
        <v>1.05</v>
      </c>
      <c r="Z199" s="28" t="n">
        <f aca="false">1012.71*3.379/1000</f>
        <v>3.42194709</v>
      </c>
      <c r="AA199" s="28" t="n">
        <f aca="false">Y199*Z199</f>
        <v>3.5930444445</v>
      </c>
    </row>
    <row r="200" customFormat="false" ht="15" hidden="false" customHeight="false" outlineLevel="0" collapsed="false">
      <c r="W200" s="55"/>
      <c r="X200" s="56"/>
      <c r="AA200" s="124" t="n">
        <f aca="false">SUM(AA198:AA199)</f>
        <v>3.6722444445</v>
      </c>
    </row>
    <row r="201" customFormat="false" ht="15" hidden="false" customHeight="false" outlineLevel="0" collapsed="false">
      <c r="S201" s="125" t="s">
        <v>318</v>
      </c>
      <c r="W201" s="55"/>
      <c r="X201" s="56"/>
    </row>
    <row r="202" customFormat="false" ht="15" hidden="false" customHeight="false" outlineLevel="0" collapsed="false">
      <c r="S202" s="1" t="s">
        <v>311</v>
      </c>
      <c r="W202" s="55" t="s">
        <v>312</v>
      </c>
      <c r="Y202" s="57" t="n">
        <v>3</v>
      </c>
      <c r="Z202" s="28" t="n">
        <f aca="false">AA196</f>
        <v>1.68128</v>
      </c>
      <c r="AA202" s="28" t="n">
        <f aca="false">Y202%*Z202</f>
        <v>0.0504384</v>
      </c>
    </row>
    <row r="203" customFormat="false" ht="15" hidden="false" customHeight="false" outlineLevel="0" collapsed="false">
      <c r="S203" s="1" t="s">
        <v>682</v>
      </c>
      <c r="W203" s="55" t="s">
        <v>292</v>
      </c>
      <c r="X203" s="56" t="n">
        <v>1</v>
      </c>
      <c r="Y203" s="57" t="n">
        <f aca="false">X203*8/$U$191</f>
        <v>0.032</v>
      </c>
      <c r="Z203" s="46" t="n">
        <v>5</v>
      </c>
      <c r="AA203" s="28" t="n">
        <f aca="false">Y203*Z203</f>
        <v>0.16</v>
      </c>
    </row>
    <row r="204" customFormat="false" ht="15" hidden="false" customHeight="false" outlineLevel="0" collapsed="false">
      <c r="R204" s="60"/>
      <c r="S204" s="60"/>
      <c r="T204" s="60"/>
      <c r="U204" s="60"/>
      <c r="V204" s="60"/>
      <c r="W204" s="60"/>
      <c r="X204" s="60"/>
      <c r="Y204" s="60"/>
      <c r="Z204" s="60"/>
      <c r="AA204" s="126" t="n">
        <f aca="false">SUM(AA202:AA203)</f>
        <v>0.2104384</v>
      </c>
    </row>
    <row r="206" customFormat="false" ht="15" hidden="false" customHeight="false" outlineLevel="0" collapsed="false">
      <c r="R206" s="82" t="s">
        <v>278</v>
      </c>
      <c r="S206" s="82"/>
      <c r="T206" s="82" t="s">
        <v>686</v>
      </c>
      <c r="U206" s="82"/>
    </row>
    <row r="207" customFormat="false" ht="15" hidden="false" customHeight="false" outlineLevel="0" collapsed="false">
      <c r="R207" s="82" t="s">
        <v>279</v>
      </c>
      <c r="S207" s="82" t="s">
        <v>417</v>
      </c>
      <c r="T207" s="84" t="s">
        <v>281</v>
      </c>
      <c r="U207" s="85" t="n">
        <v>15</v>
      </c>
      <c r="V207" s="84" t="s">
        <v>282</v>
      </c>
      <c r="W207" s="85" t="n">
        <f aca="false">U207</f>
        <v>15</v>
      </c>
      <c r="X207" s="82" t="s">
        <v>283</v>
      </c>
      <c r="Z207" s="84" t="s">
        <v>204</v>
      </c>
      <c r="AA207" s="86" t="n">
        <f aca="false">AA213+AA220+AA225</f>
        <v>424.9218</v>
      </c>
    </row>
    <row r="208" customFormat="false" ht="15" hidden="false" customHeight="false" outlineLevel="0" collapsed="false">
      <c r="R208" s="82" t="s">
        <v>284</v>
      </c>
      <c r="S208" s="82" t="s">
        <v>285</v>
      </c>
      <c r="W208" s="84" t="s">
        <v>123</v>
      </c>
      <c r="X208" s="84" t="s">
        <v>286</v>
      </c>
      <c r="Y208" s="84" t="s">
        <v>287</v>
      </c>
      <c r="Z208" s="84" t="s">
        <v>288</v>
      </c>
      <c r="AA208" s="84" t="s">
        <v>289</v>
      </c>
    </row>
    <row r="209" customFormat="false" ht="15" hidden="false" customHeight="false" outlineLevel="0" collapsed="false">
      <c r="S209" s="87" t="s">
        <v>290</v>
      </c>
    </row>
    <row r="210" customFormat="false" ht="15" hidden="false" customHeight="false" outlineLevel="0" collapsed="false">
      <c r="S210" s="1" t="s">
        <v>291</v>
      </c>
      <c r="W210" s="55" t="s">
        <v>292</v>
      </c>
      <c r="X210" s="56" t="n">
        <v>1</v>
      </c>
      <c r="Y210" s="57" t="n">
        <f aca="false">X210*8/$U$207</f>
        <v>0.533333333333333</v>
      </c>
      <c r="Z210" s="28" t="n">
        <v>28.94</v>
      </c>
      <c r="AA210" s="28" t="n">
        <f aca="false">Y210*Z210</f>
        <v>15.4346666666667</v>
      </c>
    </row>
    <row r="211" customFormat="false" ht="15" hidden="false" customHeight="false" outlineLevel="0" collapsed="false">
      <c r="S211" s="1" t="s">
        <v>293</v>
      </c>
      <c r="W211" s="55" t="s">
        <v>292</v>
      </c>
      <c r="X211" s="56" t="n">
        <v>1</v>
      </c>
      <c r="Y211" s="57" t="n">
        <f aca="false">X211*8/$U$207</f>
        <v>0.533333333333333</v>
      </c>
      <c r="Z211" s="28" t="n">
        <v>23.6</v>
      </c>
      <c r="AA211" s="28" t="n">
        <f aca="false">Y211*Z211</f>
        <v>12.5866666666667</v>
      </c>
    </row>
    <row r="212" customFormat="false" ht="15" hidden="false" customHeight="false" outlineLevel="0" collapsed="false">
      <c r="S212" s="1" t="s">
        <v>294</v>
      </c>
      <c r="W212" s="55" t="s">
        <v>292</v>
      </c>
      <c r="X212" s="56" t="n">
        <v>7</v>
      </c>
      <c r="Y212" s="57" t="n">
        <f aca="false">X212*8/$U$207</f>
        <v>3.73333333333333</v>
      </c>
      <c r="Z212" s="28" t="n">
        <v>21.36</v>
      </c>
      <c r="AA212" s="28" t="n">
        <f aca="false">Y212*Z212</f>
        <v>79.744</v>
      </c>
    </row>
    <row r="213" customFormat="false" ht="15" hidden="false" customHeight="false" outlineLevel="0" collapsed="false">
      <c r="W213" s="55"/>
      <c r="X213" s="56"/>
      <c r="Y213" s="57"/>
      <c r="AA213" s="86" t="n">
        <f aca="false">SUM(AA210:AA212)</f>
        <v>107.765333333333</v>
      </c>
    </row>
    <row r="214" customFormat="false" ht="15" hidden="false" customHeight="false" outlineLevel="0" collapsed="false">
      <c r="S214" s="87" t="s">
        <v>654</v>
      </c>
      <c r="W214" s="55"/>
      <c r="X214" s="56"/>
      <c r="Y214" s="57"/>
      <c r="AA214" s="28"/>
    </row>
    <row r="215" customFormat="false" ht="15" hidden="false" customHeight="false" outlineLevel="0" collapsed="false">
      <c r="S215" s="1" t="s">
        <v>673</v>
      </c>
      <c r="W215" s="55" t="s">
        <v>204</v>
      </c>
      <c r="Y215" s="57" t="n">
        <v>0.53</v>
      </c>
      <c r="Z215" s="28" t="n">
        <v>55.08</v>
      </c>
      <c r="AA215" s="28" t="n">
        <f aca="false">Y215*Z215</f>
        <v>29.1924</v>
      </c>
    </row>
    <row r="216" customFormat="false" ht="15" hidden="false" customHeight="false" outlineLevel="0" collapsed="false">
      <c r="S216" s="1" t="s">
        <v>674</v>
      </c>
      <c r="W216" s="55" t="s">
        <v>204</v>
      </c>
      <c r="Y216" s="57" t="n">
        <v>0.52</v>
      </c>
      <c r="Z216" s="28" t="n">
        <v>47</v>
      </c>
      <c r="AA216" s="28" t="n">
        <f aca="false">Y216*Z216</f>
        <v>24.44</v>
      </c>
    </row>
    <row r="217" customFormat="false" ht="15" hidden="false" customHeight="false" outlineLevel="0" collapsed="false">
      <c r="S217" s="1" t="s">
        <v>307</v>
      </c>
      <c r="W217" s="55" t="s">
        <v>308</v>
      </c>
      <c r="Y217" s="57" t="n">
        <v>9.73</v>
      </c>
      <c r="Z217" s="28" t="n">
        <v>24.52</v>
      </c>
      <c r="AA217" s="28" t="n">
        <f aca="false">Y217*Z217</f>
        <v>238.5796</v>
      </c>
    </row>
    <row r="218" customFormat="false" ht="15" hidden="false" customHeight="false" outlineLevel="0" collapsed="false">
      <c r="S218" s="1" t="s">
        <v>656</v>
      </c>
      <c r="W218" s="55" t="s">
        <v>204</v>
      </c>
      <c r="Y218" s="57" t="n">
        <v>0.186</v>
      </c>
      <c r="Z218" s="1" t="n">
        <v>6.14</v>
      </c>
      <c r="AA218" s="28" t="n">
        <f aca="false">Y218*Z218</f>
        <v>1.14204</v>
      </c>
    </row>
    <row r="219" customFormat="false" ht="15" hidden="false" customHeight="false" outlineLevel="0" collapsed="false">
      <c r="S219" s="1" t="s">
        <v>666</v>
      </c>
      <c r="W219" s="55" t="s">
        <v>440</v>
      </c>
      <c r="Y219" s="57" t="n">
        <v>0.36</v>
      </c>
      <c r="Z219" s="1" t="n">
        <v>13.93</v>
      </c>
      <c r="AA219" s="28" t="n">
        <f aca="false">Y219*Z219</f>
        <v>5.0148</v>
      </c>
    </row>
    <row r="220" customFormat="false" ht="15" hidden="false" customHeight="false" outlineLevel="0" collapsed="false">
      <c r="W220" s="55"/>
      <c r="Y220" s="57"/>
      <c r="Z220" s="28"/>
      <c r="AA220" s="86" t="n">
        <f aca="false">SUM(AA215:AA219)</f>
        <v>298.36884</v>
      </c>
    </row>
    <row r="221" customFormat="false" ht="15" hidden="false" customHeight="false" outlineLevel="0" collapsed="false">
      <c r="S221" s="87" t="s">
        <v>310</v>
      </c>
    </row>
    <row r="222" customFormat="false" ht="15" hidden="false" customHeight="false" outlineLevel="0" collapsed="false">
      <c r="S222" s="1" t="s">
        <v>311</v>
      </c>
      <c r="W222" s="55" t="s">
        <v>312</v>
      </c>
      <c r="Y222" s="57" t="n">
        <v>3</v>
      </c>
      <c r="Z222" s="28" t="n">
        <f aca="false">AA213</f>
        <v>107.765333333333</v>
      </c>
      <c r="AA222" s="28" t="n">
        <f aca="false">Y222%*Z222</f>
        <v>3.23296</v>
      </c>
    </row>
    <row r="223" customFormat="false" ht="15" hidden="false" customHeight="false" outlineLevel="0" collapsed="false">
      <c r="S223" s="1" t="s">
        <v>668</v>
      </c>
      <c r="W223" s="55" t="s">
        <v>338</v>
      </c>
      <c r="X223" s="56" t="n">
        <v>1</v>
      </c>
      <c r="Y223" s="57" t="n">
        <f aca="false">X223*8/$U$207</f>
        <v>0.533333333333333</v>
      </c>
      <c r="Z223" s="28" t="n">
        <v>25.63</v>
      </c>
      <c r="AA223" s="28" t="n">
        <f aca="false">Y223*Z223</f>
        <v>13.6693333333333</v>
      </c>
    </row>
    <row r="224" customFormat="false" ht="15" hidden="false" customHeight="false" outlineLevel="0" collapsed="false">
      <c r="S224" s="1" t="s">
        <v>676</v>
      </c>
      <c r="W224" s="55" t="s">
        <v>338</v>
      </c>
      <c r="X224" s="56" t="n">
        <v>0.5</v>
      </c>
      <c r="Y224" s="57" t="n">
        <f aca="false">X224*8/$U$207</f>
        <v>0.266666666666667</v>
      </c>
      <c r="Z224" s="28" t="n">
        <v>7.07</v>
      </c>
      <c r="AA224" s="28" t="n">
        <f aca="false">Y224*Z224</f>
        <v>1.88533333333333</v>
      </c>
    </row>
    <row r="225" customFormat="false" ht="15" hidden="false" customHeight="false" outlineLevel="0" collapsed="false">
      <c r="R225" s="60"/>
      <c r="S225" s="60"/>
      <c r="T225" s="60"/>
      <c r="U225" s="60"/>
      <c r="V225" s="60"/>
      <c r="W225" s="60"/>
      <c r="X225" s="60"/>
      <c r="Y225" s="60"/>
      <c r="Z225" s="60"/>
      <c r="AA225" s="89" t="n">
        <f aca="false">SUM(AA222:AA224)</f>
        <v>18.7876266666667</v>
      </c>
    </row>
    <row r="227" customFormat="false" ht="15" hidden="false" customHeight="false" outlineLevel="0" collapsed="false">
      <c r="R227" s="82" t="s">
        <v>278</v>
      </c>
      <c r="S227" s="82"/>
      <c r="T227" s="82" t="s">
        <v>687</v>
      </c>
      <c r="U227" s="82"/>
    </row>
    <row r="228" customFormat="false" ht="15" hidden="false" customHeight="false" outlineLevel="0" collapsed="false">
      <c r="R228" s="82" t="s">
        <v>279</v>
      </c>
      <c r="S228" s="82" t="s">
        <v>280</v>
      </c>
      <c r="T228" s="84" t="s">
        <v>281</v>
      </c>
      <c r="U228" s="85" t="n">
        <v>20</v>
      </c>
      <c r="V228" s="84" t="s">
        <v>282</v>
      </c>
      <c r="W228" s="85" t="n">
        <f aca="false">U228</f>
        <v>20</v>
      </c>
      <c r="X228" s="82" t="s">
        <v>283</v>
      </c>
      <c r="Z228" s="84" t="s">
        <v>134</v>
      </c>
      <c r="AA228" s="86" t="n">
        <f aca="false">AA233+AA238+AA241</f>
        <v>42.64448</v>
      </c>
    </row>
    <row r="229" customFormat="false" ht="15" hidden="false" customHeight="false" outlineLevel="0" collapsed="false">
      <c r="R229" s="82" t="s">
        <v>284</v>
      </c>
      <c r="S229" s="82" t="s">
        <v>285</v>
      </c>
      <c r="W229" s="84" t="s">
        <v>123</v>
      </c>
      <c r="X229" s="84" t="s">
        <v>286</v>
      </c>
      <c r="Y229" s="84" t="s">
        <v>287</v>
      </c>
      <c r="Z229" s="84" t="s">
        <v>288</v>
      </c>
      <c r="AA229" s="84" t="s">
        <v>289</v>
      </c>
    </row>
    <row r="230" customFormat="false" ht="15" hidden="false" customHeight="false" outlineLevel="0" collapsed="false">
      <c r="S230" s="87" t="s">
        <v>290</v>
      </c>
    </row>
    <row r="231" customFormat="false" ht="15" hidden="false" customHeight="false" outlineLevel="0" collapsed="false">
      <c r="S231" s="1" t="s">
        <v>291</v>
      </c>
      <c r="W231" s="55" t="s">
        <v>292</v>
      </c>
      <c r="X231" s="56" t="n">
        <v>1</v>
      </c>
      <c r="Y231" s="57" t="n">
        <f aca="false">X231*8/$U$228</f>
        <v>0.4</v>
      </c>
      <c r="Z231" s="28" t="n">
        <v>28.94</v>
      </c>
      <c r="AA231" s="28" t="n">
        <f aca="false">Y231*Z231</f>
        <v>11.576</v>
      </c>
    </row>
    <row r="232" customFormat="false" ht="15" hidden="false" customHeight="false" outlineLevel="0" collapsed="false">
      <c r="S232" s="1" t="s">
        <v>293</v>
      </c>
      <c r="W232" s="55" t="s">
        <v>292</v>
      </c>
      <c r="X232" s="56" t="n">
        <v>1</v>
      </c>
      <c r="Y232" s="57" t="n">
        <f aca="false">X232*8/$U$228</f>
        <v>0.4</v>
      </c>
      <c r="Z232" s="28" t="n">
        <v>23.6</v>
      </c>
      <c r="AA232" s="28" t="n">
        <f aca="false">Y232*Z232</f>
        <v>9.44</v>
      </c>
    </row>
    <row r="233" customFormat="false" ht="15" hidden="false" customHeight="false" outlineLevel="0" collapsed="false">
      <c r="W233" s="55"/>
      <c r="X233" s="56"/>
      <c r="Y233" s="57"/>
      <c r="AA233" s="86" t="n">
        <f aca="false">SUM(AA231:AA232)</f>
        <v>21.016</v>
      </c>
    </row>
    <row r="234" customFormat="false" ht="15" hidden="false" customHeight="false" outlineLevel="0" collapsed="false">
      <c r="S234" s="87" t="s">
        <v>654</v>
      </c>
      <c r="W234" s="55"/>
      <c r="X234" s="56"/>
      <c r="Y234" s="57"/>
      <c r="AA234" s="28"/>
    </row>
    <row r="235" customFormat="false" ht="15" hidden="false" customHeight="false" outlineLevel="0" collapsed="false">
      <c r="S235" s="1" t="s">
        <v>678</v>
      </c>
      <c r="W235" s="55" t="s">
        <v>297</v>
      </c>
      <c r="Y235" s="57" t="n">
        <v>0.26</v>
      </c>
      <c r="Z235" s="28" t="n">
        <v>2.64</v>
      </c>
      <c r="AA235" s="28" t="n">
        <f aca="false">Y235*Z235</f>
        <v>0.6864</v>
      </c>
    </row>
    <row r="236" customFormat="false" ht="15" hidden="false" customHeight="false" outlineLevel="0" collapsed="false">
      <c r="S236" s="1" t="s">
        <v>302</v>
      </c>
      <c r="W236" s="55" t="s">
        <v>297</v>
      </c>
      <c r="Y236" s="57" t="n">
        <v>0.16</v>
      </c>
      <c r="Z236" s="28" t="n">
        <v>5.51</v>
      </c>
      <c r="AA236" s="28" t="n">
        <f aca="false">Y236*Z236</f>
        <v>0.8816</v>
      </c>
    </row>
    <row r="237" customFormat="false" ht="15" hidden="false" customHeight="false" outlineLevel="0" collapsed="false">
      <c r="S237" s="1" t="s">
        <v>670</v>
      </c>
      <c r="W237" s="55" t="s">
        <v>306</v>
      </c>
      <c r="Y237" s="57" t="n">
        <v>3.35</v>
      </c>
      <c r="Z237" s="28" t="n">
        <v>5.8</v>
      </c>
      <c r="AA237" s="28" t="n">
        <f aca="false">Y237*Z237</f>
        <v>19.43</v>
      </c>
    </row>
    <row r="238" customFormat="false" ht="15" hidden="false" customHeight="false" outlineLevel="0" collapsed="false">
      <c r="W238" s="55"/>
      <c r="Y238" s="57"/>
      <c r="Z238" s="28"/>
      <c r="AA238" s="86" t="n">
        <f aca="false">SUM(AA235:AA237)</f>
        <v>20.998</v>
      </c>
    </row>
    <row r="239" customFormat="false" ht="15" hidden="false" customHeight="false" outlineLevel="0" collapsed="false">
      <c r="S239" s="87" t="s">
        <v>310</v>
      </c>
    </row>
    <row r="240" customFormat="false" ht="15" hidden="false" customHeight="false" outlineLevel="0" collapsed="false">
      <c r="S240" s="1" t="s">
        <v>311</v>
      </c>
      <c r="W240" s="55" t="s">
        <v>312</v>
      </c>
      <c r="Y240" s="57" t="n">
        <v>3</v>
      </c>
      <c r="Z240" s="28" t="n">
        <f aca="false">AA233</f>
        <v>21.016</v>
      </c>
      <c r="AA240" s="28" t="n">
        <f aca="false">Y240%*Z240</f>
        <v>0.63048</v>
      </c>
    </row>
    <row r="241" customFormat="false" ht="15" hidden="false" customHeight="false" outlineLevel="0" collapsed="false">
      <c r="R241" s="60"/>
      <c r="S241" s="60"/>
      <c r="T241" s="60"/>
      <c r="U241" s="60"/>
      <c r="V241" s="60"/>
      <c r="W241" s="60"/>
      <c r="X241" s="60"/>
      <c r="Y241" s="60"/>
      <c r="Z241" s="60"/>
      <c r="AA241" s="89" t="n">
        <f aca="false">SUM(AA240)</f>
        <v>0.63048</v>
      </c>
    </row>
    <row r="243" customFormat="false" ht="15" hidden="false" customHeight="false" outlineLevel="0" collapsed="false">
      <c r="R243" s="82" t="s">
        <v>278</v>
      </c>
      <c r="S243" s="82"/>
      <c r="T243" s="82" t="s">
        <v>688</v>
      </c>
      <c r="U243" s="82"/>
    </row>
    <row r="244" customFormat="false" ht="15" hidden="false" customHeight="false" outlineLevel="0" collapsed="false">
      <c r="R244" s="82" t="s">
        <v>279</v>
      </c>
      <c r="S244" s="82" t="s">
        <v>679</v>
      </c>
      <c r="T244" s="84" t="s">
        <v>281</v>
      </c>
      <c r="U244" s="85" t="n">
        <v>250</v>
      </c>
      <c r="V244" s="84" t="s">
        <v>282</v>
      </c>
      <c r="W244" s="85" t="n">
        <f aca="false">U244</f>
        <v>250</v>
      </c>
      <c r="X244" s="82" t="s">
        <v>283</v>
      </c>
      <c r="Z244" s="84" t="s">
        <v>297</v>
      </c>
      <c r="AA244" s="86" t="n">
        <f aca="false">AA249+AA253+AA257</f>
        <v>5.5639628445</v>
      </c>
    </row>
    <row r="245" customFormat="false" ht="15" hidden="false" customHeight="false" outlineLevel="0" collapsed="false">
      <c r="R245" s="82" t="s">
        <v>284</v>
      </c>
      <c r="S245" s="82" t="s">
        <v>285</v>
      </c>
      <c r="W245" s="84" t="s">
        <v>123</v>
      </c>
      <c r="X245" s="84" t="s">
        <v>286</v>
      </c>
      <c r="Y245" s="84" t="s">
        <v>287</v>
      </c>
      <c r="Z245" s="84" t="s">
        <v>288</v>
      </c>
      <c r="AA245" s="84" t="s">
        <v>289</v>
      </c>
    </row>
    <row r="246" customFormat="false" ht="15" hidden="false" customHeight="false" outlineLevel="0" collapsed="false">
      <c r="S246" s="125" t="s">
        <v>290</v>
      </c>
      <c r="X246" s="56"/>
    </row>
    <row r="247" customFormat="false" ht="15" hidden="false" customHeight="false" outlineLevel="0" collapsed="false">
      <c r="S247" s="1" t="s">
        <v>291</v>
      </c>
      <c r="W247" s="55" t="s">
        <v>292</v>
      </c>
      <c r="X247" s="56" t="n">
        <v>1</v>
      </c>
      <c r="Y247" s="57" t="n">
        <f aca="false">X247*8/$U$244</f>
        <v>0.032</v>
      </c>
      <c r="Z247" s="28" t="n">
        <v>28.94</v>
      </c>
      <c r="AA247" s="28" t="n">
        <f aca="false">Y247*Z247</f>
        <v>0.92608</v>
      </c>
    </row>
    <row r="248" customFormat="false" ht="15" hidden="false" customHeight="false" outlineLevel="0" collapsed="false">
      <c r="S248" s="1" t="s">
        <v>680</v>
      </c>
      <c r="W248" s="55" t="s">
        <v>292</v>
      </c>
      <c r="X248" s="56" t="n">
        <v>1</v>
      </c>
      <c r="Y248" s="57" t="n">
        <f aca="false">X248*8/$U$244</f>
        <v>0.032</v>
      </c>
      <c r="Z248" s="28" t="n">
        <v>23.6</v>
      </c>
      <c r="AA248" s="28" t="n">
        <f aca="false">Y248*Z248</f>
        <v>0.7552</v>
      </c>
    </row>
    <row r="249" customFormat="false" ht="15" hidden="false" customHeight="false" outlineLevel="0" collapsed="false">
      <c r="W249" s="55"/>
      <c r="X249" s="56"/>
      <c r="AA249" s="124" t="n">
        <f aca="false">SUM(AA247:AA248)</f>
        <v>1.68128</v>
      </c>
    </row>
    <row r="250" customFormat="false" ht="15" hidden="false" customHeight="false" outlineLevel="0" collapsed="false">
      <c r="S250" s="125" t="s">
        <v>295</v>
      </c>
      <c r="W250" s="55"/>
      <c r="X250" s="56"/>
      <c r="Y250" s="99"/>
    </row>
    <row r="251" customFormat="false" ht="15" hidden="false" customHeight="false" outlineLevel="0" collapsed="false">
      <c r="S251" s="1" t="s">
        <v>296</v>
      </c>
      <c r="W251" s="55" t="s">
        <v>297</v>
      </c>
      <c r="X251" s="56"/>
      <c r="Y251" s="99" t="n">
        <v>0.03</v>
      </c>
      <c r="Z251" s="28" t="n">
        <v>2.64</v>
      </c>
      <c r="AA251" s="28" t="n">
        <f aca="false">Y251*Z251</f>
        <v>0.0792</v>
      </c>
    </row>
    <row r="252" customFormat="false" ht="15" hidden="false" customHeight="false" outlineLevel="0" collapsed="false">
      <c r="S252" s="1" t="s">
        <v>681</v>
      </c>
      <c r="W252" s="55" t="s">
        <v>297</v>
      </c>
      <c r="X252" s="56"/>
      <c r="Y252" s="99" t="n">
        <v>1.05</v>
      </c>
      <c r="Z252" s="28" t="n">
        <f aca="false">1012.71*3.379/1000</f>
        <v>3.42194709</v>
      </c>
      <c r="AA252" s="28" t="n">
        <f aca="false">Y252*Z252</f>
        <v>3.5930444445</v>
      </c>
    </row>
    <row r="253" customFormat="false" ht="15" hidden="false" customHeight="false" outlineLevel="0" collapsed="false">
      <c r="W253" s="55"/>
      <c r="X253" s="56"/>
      <c r="AA253" s="124" t="n">
        <f aca="false">SUM(AA251:AA252)</f>
        <v>3.6722444445</v>
      </c>
    </row>
    <row r="254" customFormat="false" ht="15" hidden="false" customHeight="false" outlineLevel="0" collapsed="false">
      <c r="S254" s="125" t="s">
        <v>318</v>
      </c>
      <c r="W254" s="55"/>
      <c r="X254" s="56"/>
    </row>
    <row r="255" customFormat="false" ht="15" hidden="false" customHeight="false" outlineLevel="0" collapsed="false">
      <c r="S255" s="1" t="s">
        <v>311</v>
      </c>
      <c r="W255" s="55" t="s">
        <v>312</v>
      </c>
      <c r="Y255" s="57" t="n">
        <v>3</v>
      </c>
      <c r="Z255" s="28" t="n">
        <f aca="false">AA249</f>
        <v>1.68128</v>
      </c>
      <c r="AA255" s="28" t="n">
        <f aca="false">Y255%*Z255</f>
        <v>0.0504384</v>
      </c>
    </row>
    <row r="256" customFormat="false" ht="15" hidden="false" customHeight="false" outlineLevel="0" collapsed="false">
      <c r="S256" s="1" t="s">
        <v>682</v>
      </c>
      <c r="W256" s="55" t="s">
        <v>292</v>
      </c>
      <c r="X256" s="56" t="n">
        <v>1</v>
      </c>
      <c r="Y256" s="57" t="n">
        <f aca="false">X256*8/$U$244</f>
        <v>0.032</v>
      </c>
      <c r="Z256" s="46" t="n">
        <v>5</v>
      </c>
      <c r="AA256" s="28" t="n">
        <f aca="false">Y256*Z256</f>
        <v>0.16</v>
      </c>
    </row>
    <row r="257" customFormat="false" ht="15" hidden="false" customHeight="false" outlineLevel="0" collapsed="false">
      <c r="R257" s="60"/>
      <c r="S257" s="60"/>
      <c r="T257" s="60"/>
      <c r="U257" s="60"/>
      <c r="V257" s="60"/>
      <c r="W257" s="60"/>
      <c r="X257" s="60"/>
      <c r="Y257" s="60"/>
      <c r="Z257" s="60"/>
      <c r="AA257" s="126" t="n">
        <f aca="false">SUM(AA255:AA256)</f>
        <v>0.2104384</v>
      </c>
    </row>
    <row r="259" customFormat="false" ht="15" hidden="false" customHeight="false" outlineLevel="0" collapsed="false">
      <c r="R259" s="82" t="s">
        <v>278</v>
      </c>
      <c r="S259" s="82"/>
      <c r="T259" s="82" t="s">
        <v>511</v>
      </c>
      <c r="U259" s="82"/>
    </row>
    <row r="260" customFormat="false" ht="15" hidden="false" customHeight="false" outlineLevel="0" collapsed="false">
      <c r="R260" s="82" t="s">
        <v>279</v>
      </c>
      <c r="S260" s="82" t="s">
        <v>417</v>
      </c>
      <c r="T260" s="84" t="s">
        <v>281</v>
      </c>
      <c r="U260" s="85" t="n">
        <v>18</v>
      </c>
      <c r="V260" s="84" t="s">
        <v>282</v>
      </c>
      <c r="W260" s="85" t="n">
        <f aca="false">U260</f>
        <v>18</v>
      </c>
      <c r="X260" s="82" t="s">
        <v>283</v>
      </c>
      <c r="Z260" s="84" t="s">
        <v>204</v>
      </c>
      <c r="AA260" s="86" t="n">
        <f aca="false">AA266+AA274+AA279</f>
        <v>536.013862222222</v>
      </c>
    </row>
    <row r="261" customFormat="false" ht="15" hidden="false" customHeight="false" outlineLevel="0" collapsed="false">
      <c r="R261" s="82" t="s">
        <v>284</v>
      </c>
      <c r="S261" s="82" t="s">
        <v>285</v>
      </c>
      <c r="W261" s="84" t="s">
        <v>123</v>
      </c>
      <c r="X261" s="84" t="s">
        <v>286</v>
      </c>
      <c r="Y261" s="84" t="s">
        <v>287</v>
      </c>
      <c r="Z261" s="84" t="s">
        <v>288</v>
      </c>
      <c r="AA261" s="84" t="s">
        <v>289</v>
      </c>
    </row>
    <row r="262" customFormat="false" ht="15" hidden="false" customHeight="false" outlineLevel="0" collapsed="false">
      <c r="S262" s="87" t="s">
        <v>290</v>
      </c>
    </row>
    <row r="263" customFormat="false" ht="15" hidden="false" customHeight="false" outlineLevel="0" collapsed="false">
      <c r="S263" s="1" t="s">
        <v>291</v>
      </c>
      <c r="W263" s="55" t="s">
        <v>292</v>
      </c>
      <c r="X263" s="56" t="n">
        <v>2</v>
      </c>
      <c r="Y263" s="57" t="n">
        <f aca="false">X263*8/$U$260</f>
        <v>0.888888888888889</v>
      </c>
      <c r="Z263" s="28" t="n">
        <v>28.94</v>
      </c>
      <c r="AA263" s="28" t="n">
        <f aca="false">Y263*Z263</f>
        <v>25.7244444444444</v>
      </c>
    </row>
    <row r="264" customFormat="false" ht="15" hidden="false" customHeight="false" outlineLevel="0" collapsed="false">
      <c r="S264" s="1" t="s">
        <v>293</v>
      </c>
      <c r="W264" s="55" t="s">
        <v>292</v>
      </c>
      <c r="X264" s="56" t="n">
        <v>1</v>
      </c>
      <c r="Y264" s="57" t="n">
        <f aca="false">X264*8/$U$260</f>
        <v>0.444444444444444</v>
      </c>
      <c r="Z264" s="28" t="n">
        <v>23.6</v>
      </c>
      <c r="AA264" s="28" t="n">
        <f aca="false">Y264*Z264</f>
        <v>10.4888888888889</v>
      </c>
    </row>
    <row r="265" customFormat="false" ht="15" hidden="false" customHeight="false" outlineLevel="0" collapsed="false">
      <c r="S265" s="1" t="s">
        <v>294</v>
      </c>
      <c r="W265" s="55" t="s">
        <v>292</v>
      </c>
      <c r="X265" s="56" t="n">
        <v>8</v>
      </c>
      <c r="Y265" s="57" t="n">
        <f aca="false">X265*8/$U$260</f>
        <v>3.55555555555556</v>
      </c>
      <c r="Z265" s="28" t="n">
        <v>21.36</v>
      </c>
      <c r="AA265" s="28" t="n">
        <f aca="false">Y265*Z265</f>
        <v>75.9466666666667</v>
      </c>
    </row>
    <row r="266" customFormat="false" ht="15" hidden="false" customHeight="false" outlineLevel="0" collapsed="false">
      <c r="W266" s="55"/>
      <c r="X266" s="56"/>
      <c r="Y266" s="57"/>
      <c r="AA266" s="86" t="n">
        <f aca="false">SUM(AA263:AA265)</f>
        <v>112.16</v>
      </c>
    </row>
    <row r="267" customFormat="false" ht="15" hidden="false" customHeight="false" outlineLevel="0" collapsed="false">
      <c r="S267" s="87" t="s">
        <v>654</v>
      </c>
      <c r="W267" s="55"/>
      <c r="X267" s="56"/>
      <c r="Y267" s="57"/>
      <c r="AA267" s="28"/>
    </row>
    <row r="268" customFormat="false" ht="15" hidden="false" customHeight="false" outlineLevel="0" collapsed="false">
      <c r="S268" s="1" t="s">
        <v>673</v>
      </c>
      <c r="W268" s="55" t="s">
        <v>204</v>
      </c>
      <c r="Y268" s="57" t="n">
        <v>0.53</v>
      </c>
      <c r="Z268" s="28" t="n">
        <v>55.08</v>
      </c>
      <c r="AA268" s="28" t="n">
        <f aca="false">Y268*Z268</f>
        <v>29.1924</v>
      </c>
    </row>
    <row r="269" customFormat="false" ht="15" hidden="false" customHeight="false" outlineLevel="0" collapsed="false">
      <c r="S269" s="1" t="s">
        <v>674</v>
      </c>
      <c r="W269" s="55" t="s">
        <v>204</v>
      </c>
      <c r="Y269" s="57" t="n">
        <v>0.52</v>
      </c>
      <c r="Z269" s="28" t="n">
        <v>47</v>
      </c>
      <c r="AA269" s="28" t="n">
        <f aca="false">Y269*Z269</f>
        <v>24.44</v>
      </c>
    </row>
    <row r="270" customFormat="false" ht="15" hidden="false" customHeight="false" outlineLevel="0" collapsed="false">
      <c r="S270" s="1" t="s">
        <v>307</v>
      </c>
      <c r="W270" s="55" t="s">
        <v>308</v>
      </c>
      <c r="Y270" s="57" t="n">
        <v>9.73</v>
      </c>
      <c r="Z270" s="28" t="n">
        <v>24.52</v>
      </c>
      <c r="AA270" s="28" t="n">
        <f aca="false">Y270*Z270</f>
        <v>238.5796</v>
      </c>
    </row>
    <row r="271" customFormat="false" ht="15" hidden="false" customHeight="false" outlineLevel="0" collapsed="false">
      <c r="S271" s="1" t="s">
        <v>656</v>
      </c>
      <c r="W271" s="55" t="s">
        <v>204</v>
      </c>
      <c r="Y271" s="57" t="n">
        <v>0.186</v>
      </c>
      <c r="Z271" s="1" t="n">
        <v>6.14</v>
      </c>
      <c r="AA271" s="28" t="n">
        <f aca="false">Y271*Z271</f>
        <v>1.14204</v>
      </c>
    </row>
    <row r="272" customFormat="false" ht="15" hidden="false" customHeight="false" outlineLevel="0" collapsed="false">
      <c r="S272" s="1" t="s">
        <v>666</v>
      </c>
      <c r="W272" s="55" t="s">
        <v>440</v>
      </c>
      <c r="Y272" s="57" t="n">
        <v>0.36</v>
      </c>
      <c r="Z272" s="1" t="n">
        <v>13.93</v>
      </c>
      <c r="AA272" s="28" t="n">
        <f aca="false">Y272*Z272</f>
        <v>5.0148</v>
      </c>
    </row>
    <row r="273" customFormat="false" ht="15" hidden="false" customHeight="false" outlineLevel="0" collapsed="false">
      <c r="S273" s="1" t="s">
        <v>675</v>
      </c>
      <c r="W273" s="55" t="s">
        <v>440</v>
      </c>
      <c r="Y273" s="57" t="n">
        <v>4.6</v>
      </c>
      <c r="Z273" s="88" t="n">
        <v>23.73</v>
      </c>
      <c r="AA273" s="28" t="n">
        <f aca="false">Y273*Z273</f>
        <v>109.158</v>
      </c>
    </row>
    <row r="274" customFormat="false" ht="15" hidden="false" customHeight="false" outlineLevel="0" collapsed="false">
      <c r="W274" s="55"/>
      <c r="Y274" s="57"/>
      <c r="Z274" s="28"/>
      <c r="AA274" s="86" t="n">
        <f aca="false">SUM(AA268:AA273)</f>
        <v>407.52684</v>
      </c>
    </row>
    <row r="275" customFormat="false" ht="15" hidden="false" customHeight="false" outlineLevel="0" collapsed="false">
      <c r="S275" s="87" t="s">
        <v>310</v>
      </c>
    </row>
    <row r="276" customFormat="false" ht="15" hidden="false" customHeight="false" outlineLevel="0" collapsed="false">
      <c r="S276" s="1" t="s">
        <v>311</v>
      </c>
      <c r="W276" s="55" t="s">
        <v>312</v>
      </c>
      <c r="Y276" s="57" t="n">
        <v>3</v>
      </c>
      <c r="Z276" s="28" t="n">
        <f aca="false">AA266</f>
        <v>112.16</v>
      </c>
      <c r="AA276" s="28" t="n">
        <f aca="false">Y276%*Z276</f>
        <v>3.3648</v>
      </c>
    </row>
    <row r="277" customFormat="false" ht="15" hidden="false" customHeight="false" outlineLevel="0" collapsed="false">
      <c r="S277" s="1" t="s">
        <v>668</v>
      </c>
      <c r="W277" s="55" t="s">
        <v>338</v>
      </c>
      <c r="X277" s="56" t="n">
        <v>1</v>
      </c>
      <c r="Y277" s="57" t="n">
        <f aca="false">X277*8/$U$260</f>
        <v>0.444444444444444</v>
      </c>
      <c r="Z277" s="28" t="n">
        <v>25.63</v>
      </c>
      <c r="AA277" s="28" t="n">
        <f aca="false">Y277*Z277</f>
        <v>11.3911111111111</v>
      </c>
    </row>
    <row r="278" customFormat="false" ht="15" hidden="false" customHeight="false" outlineLevel="0" collapsed="false">
      <c r="S278" s="1" t="s">
        <v>676</v>
      </c>
      <c r="W278" s="55" t="s">
        <v>338</v>
      </c>
      <c r="X278" s="56" t="n">
        <v>0.5</v>
      </c>
      <c r="Y278" s="57" t="n">
        <f aca="false">X278*8/$U$260</f>
        <v>0.222222222222222</v>
      </c>
      <c r="Z278" s="28" t="n">
        <v>7.07</v>
      </c>
      <c r="AA278" s="28" t="n">
        <f aca="false">Y278*Z278</f>
        <v>1.57111111111111</v>
      </c>
    </row>
    <row r="279" customFormat="false" ht="15" hidden="false" customHeight="false" outlineLevel="0" collapsed="false">
      <c r="R279" s="60"/>
      <c r="S279" s="60"/>
      <c r="T279" s="60"/>
      <c r="U279" s="60"/>
      <c r="V279" s="60"/>
      <c r="W279" s="60"/>
      <c r="X279" s="60"/>
      <c r="Y279" s="60"/>
      <c r="Z279" s="60"/>
      <c r="AA279" s="89" t="n">
        <f aca="false">SUM(AA276:AA278)</f>
        <v>16.3270222222222</v>
      </c>
    </row>
    <row r="280" customFormat="false" ht="15" hidden="false" customHeight="false" outlineLevel="0" collapsed="false">
      <c r="AA280" s="86"/>
    </row>
    <row r="281" customFormat="false" ht="15" hidden="false" customHeight="false" outlineLevel="0" collapsed="false">
      <c r="R281" s="82" t="s">
        <v>278</v>
      </c>
      <c r="S281" s="82"/>
      <c r="T281" s="82" t="s">
        <v>513</v>
      </c>
      <c r="U281" s="82"/>
    </row>
    <row r="282" customFormat="false" ht="15" hidden="false" customHeight="false" outlineLevel="0" collapsed="false">
      <c r="R282" s="82" t="s">
        <v>279</v>
      </c>
      <c r="S282" s="82" t="s">
        <v>280</v>
      </c>
      <c r="T282" s="84" t="s">
        <v>281</v>
      </c>
      <c r="U282" s="85" t="n">
        <v>20</v>
      </c>
      <c r="V282" s="84" t="s">
        <v>282</v>
      </c>
      <c r="W282" s="85" t="n">
        <f aca="false">U282</f>
        <v>20</v>
      </c>
      <c r="X282" s="82" t="s">
        <v>283</v>
      </c>
      <c r="Z282" s="84" t="s">
        <v>134</v>
      </c>
      <c r="AA282" s="86" t="n">
        <f aca="false">AA287+AA292+AA295</f>
        <v>64.02696</v>
      </c>
    </row>
    <row r="283" customFormat="false" ht="15" hidden="false" customHeight="false" outlineLevel="0" collapsed="false">
      <c r="R283" s="82" t="s">
        <v>284</v>
      </c>
      <c r="S283" s="82" t="s">
        <v>285</v>
      </c>
      <c r="W283" s="84" t="s">
        <v>123</v>
      </c>
      <c r="X283" s="84" t="s">
        <v>286</v>
      </c>
      <c r="Y283" s="84" t="s">
        <v>287</v>
      </c>
      <c r="Z283" s="84" t="s">
        <v>288</v>
      </c>
      <c r="AA283" s="84" t="s">
        <v>289</v>
      </c>
    </row>
    <row r="284" customFormat="false" ht="15" hidden="false" customHeight="false" outlineLevel="0" collapsed="false">
      <c r="S284" s="87" t="s">
        <v>290</v>
      </c>
    </row>
    <row r="285" customFormat="false" ht="15" hidden="false" customHeight="false" outlineLevel="0" collapsed="false">
      <c r="S285" s="1" t="s">
        <v>291</v>
      </c>
      <c r="W285" s="55" t="s">
        <v>292</v>
      </c>
      <c r="X285" s="56" t="n">
        <v>2</v>
      </c>
      <c r="Y285" s="57" t="n">
        <f aca="false">X285*8/$U$282</f>
        <v>0.8</v>
      </c>
      <c r="Z285" s="28" t="n">
        <v>28.94</v>
      </c>
      <c r="AA285" s="28" t="n">
        <f aca="false">Y285*Z285</f>
        <v>23.152</v>
      </c>
    </row>
    <row r="286" customFormat="false" ht="15" hidden="false" customHeight="false" outlineLevel="0" collapsed="false">
      <c r="S286" s="1" t="s">
        <v>293</v>
      </c>
      <c r="W286" s="55" t="s">
        <v>292</v>
      </c>
      <c r="X286" s="56" t="n">
        <v>2</v>
      </c>
      <c r="Y286" s="57" t="n">
        <f aca="false">X286*8/$U$282</f>
        <v>0.8</v>
      </c>
      <c r="Z286" s="28" t="n">
        <v>23.6</v>
      </c>
      <c r="AA286" s="28" t="n">
        <f aca="false">Y286*Z286</f>
        <v>18.88</v>
      </c>
      <c r="AC286" s="28"/>
    </row>
    <row r="287" customFormat="false" ht="15" hidden="false" customHeight="false" outlineLevel="0" collapsed="false">
      <c r="W287" s="55"/>
      <c r="X287" s="56"/>
      <c r="Y287" s="57"/>
      <c r="AA287" s="86" t="n">
        <f aca="false">SUM(AA285:AA286)</f>
        <v>42.032</v>
      </c>
    </row>
    <row r="288" customFormat="false" ht="15" hidden="false" customHeight="false" outlineLevel="0" collapsed="false">
      <c r="S288" s="87" t="s">
        <v>654</v>
      </c>
      <c r="W288" s="55"/>
      <c r="X288" s="56"/>
      <c r="Y288" s="57"/>
      <c r="AA288" s="28"/>
    </row>
    <row r="289" customFormat="false" ht="15" hidden="false" customHeight="false" outlineLevel="0" collapsed="false">
      <c r="S289" s="1" t="s">
        <v>678</v>
      </c>
      <c r="W289" s="55" t="s">
        <v>297</v>
      </c>
      <c r="Y289" s="57" t="n">
        <v>0.16</v>
      </c>
      <c r="Z289" s="28" t="n">
        <v>2.64</v>
      </c>
      <c r="AA289" s="28" t="n">
        <f aca="false">Y289*Z289</f>
        <v>0.4224</v>
      </c>
    </row>
    <row r="290" customFormat="false" ht="15" hidden="false" customHeight="false" outlineLevel="0" collapsed="false">
      <c r="S290" s="1" t="s">
        <v>302</v>
      </c>
      <c r="W290" s="55" t="s">
        <v>297</v>
      </c>
      <c r="Y290" s="57" t="n">
        <v>0.16</v>
      </c>
      <c r="Z290" s="28" t="n">
        <v>5.51</v>
      </c>
      <c r="AA290" s="28" t="n">
        <f aca="false">Y290*Z290</f>
        <v>0.8816</v>
      </c>
    </row>
    <row r="291" customFormat="false" ht="15" hidden="false" customHeight="false" outlineLevel="0" collapsed="false">
      <c r="S291" s="1" t="s">
        <v>670</v>
      </c>
      <c r="W291" s="55" t="s">
        <v>306</v>
      </c>
      <c r="Y291" s="57" t="n">
        <v>3.35</v>
      </c>
      <c r="Z291" s="28" t="n">
        <v>5.8</v>
      </c>
      <c r="AA291" s="28" t="n">
        <f aca="false">Y291*Z291</f>
        <v>19.43</v>
      </c>
    </row>
    <row r="292" customFormat="false" ht="15" hidden="false" customHeight="false" outlineLevel="0" collapsed="false">
      <c r="W292" s="55"/>
      <c r="Y292" s="57"/>
      <c r="Z292" s="28"/>
      <c r="AA292" s="86" t="n">
        <f aca="false">SUM(AA289:AA291)</f>
        <v>20.734</v>
      </c>
    </row>
    <row r="293" customFormat="false" ht="15" hidden="false" customHeight="false" outlineLevel="0" collapsed="false">
      <c r="S293" s="87" t="s">
        <v>310</v>
      </c>
    </row>
    <row r="294" customFormat="false" ht="15" hidden="false" customHeight="false" outlineLevel="0" collapsed="false">
      <c r="S294" s="1" t="s">
        <v>311</v>
      </c>
      <c r="W294" s="55" t="s">
        <v>312</v>
      </c>
      <c r="Y294" s="57" t="n">
        <v>3</v>
      </c>
      <c r="Z294" s="28" t="n">
        <f aca="false">AA287</f>
        <v>42.032</v>
      </c>
      <c r="AA294" s="28" t="n">
        <f aca="false">Y294%*Z294</f>
        <v>1.26096</v>
      </c>
    </row>
    <row r="295" customFormat="false" ht="15" hidden="false" customHeight="false" outlineLevel="0" collapsed="false">
      <c r="R295" s="60"/>
      <c r="S295" s="60"/>
      <c r="T295" s="60"/>
      <c r="U295" s="60"/>
      <c r="V295" s="60"/>
      <c r="W295" s="60"/>
      <c r="X295" s="60"/>
      <c r="Y295" s="60"/>
      <c r="Z295" s="60"/>
      <c r="AA295" s="89" t="n">
        <f aca="false">SUM(AA294)</f>
        <v>1.26096</v>
      </c>
    </row>
    <row r="296" customFormat="false" ht="15" hidden="false" customHeight="false" outlineLevel="0" collapsed="false">
      <c r="AA296" s="86"/>
    </row>
    <row r="297" customFormat="false" ht="15" hidden="false" customHeight="false" outlineLevel="0" collapsed="false">
      <c r="R297" s="82" t="s">
        <v>278</v>
      </c>
      <c r="S297" s="82"/>
      <c r="T297" s="82" t="s">
        <v>685</v>
      </c>
      <c r="U297" s="82"/>
    </row>
    <row r="298" customFormat="false" ht="15" hidden="false" customHeight="false" outlineLevel="0" collapsed="false">
      <c r="R298" s="82" t="s">
        <v>279</v>
      </c>
      <c r="S298" s="82" t="s">
        <v>679</v>
      </c>
      <c r="T298" s="84" t="s">
        <v>281</v>
      </c>
      <c r="U298" s="85" t="n">
        <v>250</v>
      </c>
      <c r="V298" s="84" t="s">
        <v>282</v>
      </c>
      <c r="W298" s="85" t="n">
        <f aca="false">U298</f>
        <v>250</v>
      </c>
      <c r="X298" s="82" t="s">
        <v>283</v>
      </c>
      <c r="Z298" s="84" t="s">
        <v>297</v>
      </c>
      <c r="AA298" s="86" t="n">
        <f aca="false">AA304+AA308+AA312</f>
        <v>5.5639628445</v>
      </c>
    </row>
    <row r="299" customFormat="false" ht="15" hidden="false" customHeight="false" outlineLevel="0" collapsed="false">
      <c r="R299" s="82" t="s">
        <v>284</v>
      </c>
      <c r="S299" s="82" t="s">
        <v>285</v>
      </c>
      <c r="W299" s="84" t="s">
        <v>123</v>
      </c>
      <c r="X299" s="84" t="s">
        <v>286</v>
      </c>
      <c r="Y299" s="84" t="s">
        <v>287</v>
      </c>
      <c r="Z299" s="84" t="s">
        <v>288</v>
      </c>
      <c r="AA299" s="84" t="s">
        <v>289</v>
      </c>
    </row>
    <row r="300" customFormat="false" ht="15" hidden="false" customHeight="false" outlineLevel="0" collapsed="false">
      <c r="S300" s="125" t="s">
        <v>290</v>
      </c>
      <c r="X300" s="56"/>
    </row>
    <row r="301" customFormat="false" ht="15" hidden="false" customHeight="false" outlineLevel="0" collapsed="false">
      <c r="S301" s="1" t="s">
        <v>291</v>
      </c>
      <c r="W301" s="55" t="s">
        <v>292</v>
      </c>
      <c r="X301" s="56" t="n">
        <v>1</v>
      </c>
      <c r="Y301" s="57" t="n">
        <f aca="false">X301*8/$U$298</f>
        <v>0.032</v>
      </c>
      <c r="Z301" s="28" t="n">
        <v>28.94</v>
      </c>
      <c r="AA301" s="28" t="n">
        <f aca="false">Y301*Z301</f>
        <v>0.92608</v>
      </c>
    </row>
    <row r="302" customFormat="false" ht="15" hidden="false" customHeight="false" outlineLevel="0" collapsed="false">
      <c r="S302" s="1" t="s">
        <v>680</v>
      </c>
      <c r="W302" s="55" t="s">
        <v>292</v>
      </c>
      <c r="X302" s="56" t="n">
        <v>1</v>
      </c>
      <c r="Y302" s="57" t="n">
        <f aca="false">X302*8/$U$298</f>
        <v>0.032</v>
      </c>
      <c r="Z302" s="28" t="n">
        <v>23.6</v>
      </c>
      <c r="AA302" s="28" t="n">
        <f aca="false">Y302*Z302</f>
        <v>0.7552</v>
      </c>
    </row>
    <row r="303" customFormat="false" ht="15" hidden="false" customHeight="false" outlineLevel="0" collapsed="false">
      <c r="W303" s="55"/>
      <c r="X303" s="56"/>
      <c r="Y303" s="99"/>
      <c r="Z303" s="28"/>
      <c r="AA303" s="28"/>
    </row>
    <row r="304" customFormat="false" ht="15" hidden="false" customHeight="false" outlineLevel="0" collapsed="false">
      <c r="W304" s="55"/>
      <c r="X304" s="56"/>
      <c r="AA304" s="124" t="n">
        <f aca="false">SUM(AA301:AA303)</f>
        <v>1.68128</v>
      </c>
    </row>
    <row r="305" customFormat="false" ht="15" hidden="false" customHeight="false" outlineLevel="0" collapsed="false">
      <c r="S305" s="125" t="s">
        <v>295</v>
      </c>
      <c r="W305" s="55"/>
      <c r="X305" s="56"/>
      <c r="Y305" s="99"/>
    </row>
    <row r="306" customFormat="false" ht="15" hidden="false" customHeight="false" outlineLevel="0" collapsed="false">
      <c r="S306" s="1" t="s">
        <v>296</v>
      </c>
      <c r="W306" s="55" t="s">
        <v>297</v>
      </c>
      <c r="X306" s="56"/>
      <c r="Y306" s="99" t="n">
        <v>0.03</v>
      </c>
      <c r="Z306" s="28" t="n">
        <v>2.64</v>
      </c>
      <c r="AA306" s="28" t="n">
        <f aca="false">Y306*Z306</f>
        <v>0.0792</v>
      </c>
    </row>
    <row r="307" customFormat="false" ht="15" hidden="false" customHeight="false" outlineLevel="0" collapsed="false">
      <c r="S307" s="1" t="s">
        <v>681</v>
      </c>
      <c r="W307" s="55" t="s">
        <v>297</v>
      </c>
      <c r="X307" s="56"/>
      <c r="Y307" s="99" t="n">
        <v>1.05</v>
      </c>
      <c r="Z307" s="28" t="n">
        <f aca="false">1012.71*3.379/1000</f>
        <v>3.42194709</v>
      </c>
      <c r="AA307" s="28" t="n">
        <f aca="false">Y307*Z307</f>
        <v>3.5930444445</v>
      </c>
    </row>
    <row r="308" customFormat="false" ht="15" hidden="false" customHeight="false" outlineLevel="0" collapsed="false">
      <c r="W308" s="55"/>
      <c r="X308" s="56"/>
      <c r="AA308" s="124" t="n">
        <f aca="false">SUM(AA306:AA307)</f>
        <v>3.6722444445</v>
      </c>
    </row>
    <row r="309" customFormat="false" ht="15" hidden="false" customHeight="false" outlineLevel="0" collapsed="false">
      <c r="S309" s="125" t="s">
        <v>318</v>
      </c>
      <c r="W309" s="55"/>
      <c r="X309" s="56"/>
    </row>
    <row r="310" customFormat="false" ht="15" hidden="false" customHeight="false" outlineLevel="0" collapsed="false">
      <c r="S310" s="1" t="s">
        <v>311</v>
      </c>
      <c r="W310" s="55" t="s">
        <v>312</v>
      </c>
      <c r="Y310" s="57" t="n">
        <v>3</v>
      </c>
      <c r="Z310" s="28" t="n">
        <f aca="false">AA304</f>
        <v>1.68128</v>
      </c>
      <c r="AA310" s="28" t="n">
        <f aca="false">Y310%*Z310</f>
        <v>0.0504384</v>
      </c>
    </row>
    <row r="311" customFormat="false" ht="15" hidden="false" customHeight="false" outlineLevel="0" collapsed="false">
      <c r="S311" s="1" t="s">
        <v>682</v>
      </c>
      <c r="W311" s="55" t="s">
        <v>292</v>
      </c>
      <c r="X311" s="56" t="n">
        <v>1</v>
      </c>
      <c r="Y311" s="57" t="n">
        <f aca="false">X311*8/$U$298</f>
        <v>0.032</v>
      </c>
      <c r="Z311" s="46" t="n">
        <v>5</v>
      </c>
      <c r="AA311" s="28" t="n">
        <f aca="false">Y311*Z311</f>
        <v>0.16</v>
      </c>
    </row>
    <row r="312" customFormat="false" ht="15" hidden="false" customHeight="false" outlineLevel="0" collapsed="false">
      <c r="R312" s="60"/>
      <c r="S312" s="60"/>
      <c r="T312" s="60"/>
      <c r="U312" s="60"/>
      <c r="V312" s="60"/>
      <c r="W312" s="60"/>
      <c r="X312" s="60"/>
      <c r="Y312" s="60"/>
      <c r="Z312" s="60"/>
      <c r="AA312" s="126" t="n">
        <f aca="false">SUM(AA310:AA311)</f>
        <v>0.2104384</v>
      </c>
    </row>
    <row r="314" customFormat="false" ht="15" hidden="false" customHeight="false" outlineLevel="0" collapsed="false">
      <c r="R314" s="82" t="s">
        <v>278</v>
      </c>
      <c r="S314" s="82"/>
      <c r="T314" s="82" t="s">
        <v>527</v>
      </c>
      <c r="U314" s="82"/>
    </row>
    <row r="315" customFormat="false" ht="15" hidden="false" customHeight="false" outlineLevel="0" collapsed="false">
      <c r="R315" s="82" t="s">
        <v>279</v>
      </c>
      <c r="S315" s="82" t="s">
        <v>417</v>
      </c>
      <c r="T315" s="84" t="s">
        <v>281</v>
      </c>
      <c r="U315" s="85" t="n">
        <v>10</v>
      </c>
      <c r="V315" s="84" t="s">
        <v>282</v>
      </c>
      <c r="W315" s="85" t="n">
        <f aca="false">U315</f>
        <v>10</v>
      </c>
      <c r="X315" s="82" t="s">
        <v>283</v>
      </c>
      <c r="Z315" s="84" t="s">
        <v>204</v>
      </c>
      <c r="AA315" s="86" t="n">
        <f aca="false">AA321+AA328+AA333</f>
        <v>549.09188</v>
      </c>
    </row>
    <row r="316" customFormat="false" ht="15" hidden="false" customHeight="false" outlineLevel="0" collapsed="false">
      <c r="R316" s="82" t="s">
        <v>284</v>
      </c>
      <c r="S316" s="82" t="s">
        <v>285</v>
      </c>
      <c r="W316" s="84" t="s">
        <v>123</v>
      </c>
      <c r="X316" s="84" t="s">
        <v>286</v>
      </c>
      <c r="Y316" s="84" t="s">
        <v>287</v>
      </c>
      <c r="Z316" s="84" t="s">
        <v>288</v>
      </c>
      <c r="AA316" s="84" t="s">
        <v>289</v>
      </c>
    </row>
    <row r="317" customFormat="false" ht="15" hidden="false" customHeight="false" outlineLevel="0" collapsed="false">
      <c r="S317" s="87" t="s">
        <v>290</v>
      </c>
    </row>
    <row r="318" customFormat="false" ht="15" hidden="false" customHeight="false" outlineLevel="0" collapsed="false">
      <c r="S318" s="1" t="s">
        <v>291</v>
      </c>
      <c r="W318" s="55" t="s">
        <v>292</v>
      </c>
      <c r="X318" s="56" t="n">
        <v>2</v>
      </c>
      <c r="Y318" s="57" t="n">
        <f aca="false">X318*8/$U$315</f>
        <v>1.6</v>
      </c>
      <c r="Z318" s="28" t="n">
        <v>28.94</v>
      </c>
      <c r="AA318" s="28" t="n">
        <f aca="false">Y318*Z318</f>
        <v>46.304</v>
      </c>
    </row>
    <row r="319" customFormat="false" ht="15" hidden="false" customHeight="false" outlineLevel="0" collapsed="false">
      <c r="S319" s="1" t="s">
        <v>293</v>
      </c>
      <c r="W319" s="55" t="s">
        <v>292</v>
      </c>
      <c r="X319" s="56" t="n">
        <v>2</v>
      </c>
      <c r="Y319" s="57" t="n">
        <f aca="false">X319*8/$U$315</f>
        <v>1.6</v>
      </c>
      <c r="Z319" s="28" t="n">
        <v>23.6</v>
      </c>
      <c r="AA319" s="28" t="n">
        <f aca="false">Y319*Z319</f>
        <v>37.76</v>
      </c>
    </row>
    <row r="320" customFormat="false" ht="15" hidden="false" customHeight="false" outlineLevel="0" collapsed="false">
      <c r="S320" s="1" t="s">
        <v>294</v>
      </c>
      <c r="W320" s="55" t="s">
        <v>292</v>
      </c>
      <c r="X320" s="56" t="n">
        <v>8</v>
      </c>
      <c r="Y320" s="57" t="n">
        <f aca="false">X320*8/$U$315</f>
        <v>6.4</v>
      </c>
      <c r="Z320" s="28" t="n">
        <v>21.36</v>
      </c>
      <c r="AA320" s="28" t="n">
        <f aca="false">Y320*Z320</f>
        <v>136.704</v>
      </c>
    </row>
    <row r="321" customFormat="false" ht="15" hidden="false" customHeight="false" outlineLevel="0" collapsed="false">
      <c r="W321" s="55"/>
      <c r="X321" s="56"/>
      <c r="Y321" s="57"/>
      <c r="AA321" s="86" t="n">
        <f aca="false">SUM(AA318:AA320)</f>
        <v>220.768</v>
      </c>
    </row>
    <row r="322" customFormat="false" ht="15" hidden="false" customHeight="false" outlineLevel="0" collapsed="false">
      <c r="S322" s="87" t="s">
        <v>654</v>
      </c>
      <c r="W322" s="55"/>
      <c r="X322" s="56"/>
      <c r="Y322" s="57"/>
      <c r="AA322" s="28"/>
    </row>
    <row r="323" customFormat="false" ht="15" hidden="false" customHeight="false" outlineLevel="0" collapsed="false">
      <c r="S323" s="1" t="s">
        <v>673</v>
      </c>
      <c r="W323" s="55" t="s">
        <v>204</v>
      </c>
      <c r="Y323" s="57" t="n">
        <v>0.53</v>
      </c>
      <c r="Z323" s="28" t="n">
        <v>55.08</v>
      </c>
      <c r="AA323" s="28" t="n">
        <f aca="false">Y323*Z323</f>
        <v>29.1924</v>
      </c>
    </row>
    <row r="324" customFormat="false" ht="15" hidden="false" customHeight="false" outlineLevel="0" collapsed="false">
      <c r="S324" s="1" t="s">
        <v>674</v>
      </c>
      <c r="W324" s="55" t="s">
        <v>204</v>
      </c>
      <c r="Y324" s="57" t="n">
        <v>0.52</v>
      </c>
      <c r="Z324" s="28" t="n">
        <v>47</v>
      </c>
      <c r="AA324" s="28" t="n">
        <f aca="false">Y324*Z324</f>
        <v>24.44</v>
      </c>
    </row>
    <row r="325" customFormat="false" ht="15" hidden="false" customHeight="false" outlineLevel="0" collapsed="false">
      <c r="S325" s="1" t="s">
        <v>307</v>
      </c>
      <c r="W325" s="55" t="s">
        <v>308</v>
      </c>
      <c r="Y325" s="57" t="n">
        <v>9.73</v>
      </c>
      <c r="Z325" s="28" t="n">
        <v>24.52</v>
      </c>
      <c r="AA325" s="28" t="n">
        <f aca="false">Y325*Z325</f>
        <v>238.5796</v>
      </c>
    </row>
    <row r="326" customFormat="false" ht="15" hidden="false" customHeight="false" outlineLevel="0" collapsed="false">
      <c r="S326" s="1" t="s">
        <v>656</v>
      </c>
      <c r="W326" s="55" t="s">
        <v>204</v>
      </c>
      <c r="Y326" s="57" t="n">
        <v>0.186</v>
      </c>
      <c r="Z326" s="1" t="n">
        <v>6.14</v>
      </c>
      <c r="AA326" s="28" t="n">
        <f aca="false">Y326*Z326</f>
        <v>1.14204</v>
      </c>
    </row>
    <row r="327" customFormat="false" ht="15" hidden="false" customHeight="false" outlineLevel="0" collapsed="false">
      <c r="S327" s="1" t="s">
        <v>666</v>
      </c>
      <c r="W327" s="55" t="s">
        <v>440</v>
      </c>
      <c r="Y327" s="57" t="n">
        <v>0.36</v>
      </c>
      <c r="Z327" s="1" t="n">
        <v>13.93</v>
      </c>
      <c r="AA327" s="28" t="n">
        <f aca="false">Y327*Z327</f>
        <v>5.0148</v>
      </c>
    </row>
    <row r="328" customFormat="false" ht="15" hidden="false" customHeight="false" outlineLevel="0" collapsed="false">
      <c r="W328" s="55"/>
      <c r="Y328" s="57"/>
      <c r="Z328" s="28"/>
      <c r="AA328" s="86" t="n">
        <f aca="false">SUM(AA323:AA327)</f>
        <v>298.36884</v>
      </c>
    </row>
    <row r="329" customFormat="false" ht="15" hidden="false" customHeight="false" outlineLevel="0" collapsed="false">
      <c r="S329" s="87" t="s">
        <v>310</v>
      </c>
    </row>
    <row r="330" customFormat="false" ht="15" hidden="false" customHeight="false" outlineLevel="0" collapsed="false">
      <c r="S330" s="1" t="s">
        <v>311</v>
      </c>
      <c r="W330" s="55" t="s">
        <v>312</v>
      </c>
      <c r="Y330" s="57" t="n">
        <v>3</v>
      </c>
      <c r="Z330" s="28" t="n">
        <f aca="false">AA321</f>
        <v>220.768</v>
      </c>
      <c r="AA330" s="28" t="n">
        <f aca="false">Y330%*Z330</f>
        <v>6.62304</v>
      </c>
    </row>
    <row r="331" customFormat="false" ht="15" hidden="false" customHeight="false" outlineLevel="0" collapsed="false">
      <c r="S331" s="1" t="s">
        <v>668</v>
      </c>
      <c r="W331" s="55" t="s">
        <v>338</v>
      </c>
      <c r="X331" s="56" t="n">
        <v>1</v>
      </c>
      <c r="Y331" s="57" t="n">
        <f aca="false">X331*8/$U$315</f>
        <v>0.8</v>
      </c>
      <c r="Z331" s="28" t="n">
        <v>25.63</v>
      </c>
      <c r="AA331" s="28" t="n">
        <f aca="false">Y331*Z331</f>
        <v>20.504</v>
      </c>
    </row>
    <row r="332" customFormat="false" ht="15" hidden="false" customHeight="false" outlineLevel="0" collapsed="false">
      <c r="S332" s="1" t="s">
        <v>676</v>
      </c>
      <c r="W332" s="55" t="s">
        <v>338</v>
      </c>
      <c r="X332" s="56" t="n">
        <v>0.5</v>
      </c>
      <c r="Y332" s="57" t="n">
        <f aca="false">X332*8/$U$315</f>
        <v>0.4</v>
      </c>
      <c r="Z332" s="28" t="n">
        <v>7.07</v>
      </c>
      <c r="AA332" s="28" t="n">
        <f aca="false">Y332*Z332</f>
        <v>2.828</v>
      </c>
    </row>
    <row r="333" customFormat="false" ht="15" hidden="false" customHeight="false" outlineLevel="0" collapsed="false">
      <c r="R333" s="60"/>
      <c r="S333" s="60"/>
      <c r="T333" s="60"/>
      <c r="U333" s="60"/>
      <c r="V333" s="60"/>
      <c r="W333" s="60"/>
      <c r="X333" s="60"/>
      <c r="Y333" s="60"/>
      <c r="Z333" s="60"/>
      <c r="AA333" s="89" t="n">
        <f aca="false">SUM(AA330:AA332)</f>
        <v>29.95504</v>
      </c>
    </row>
    <row r="335" customFormat="false" ht="15" hidden="false" customHeight="false" outlineLevel="0" collapsed="false">
      <c r="R335" s="82" t="s">
        <v>278</v>
      </c>
      <c r="S335" s="82"/>
      <c r="T335" s="82" t="s">
        <v>529</v>
      </c>
      <c r="U335" s="82"/>
    </row>
    <row r="336" customFormat="false" ht="15" hidden="false" customHeight="false" outlineLevel="0" collapsed="false">
      <c r="R336" s="82" t="s">
        <v>279</v>
      </c>
      <c r="S336" s="82" t="s">
        <v>280</v>
      </c>
      <c r="T336" s="84" t="s">
        <v>281</v>
      </c>
      <c r="U336" s="85" t="n">
        <v>30</v>
      </c>
      <c r="V336" s="84" t="s">
        <v>282</v>
      </c>
      <c r="W336" s="85" t="n">
        <f aca="false">U336</f>
        <v>30</v>
      </c>
      <c r="X336" s="82" t="s">
        <v>283</v>
      </c>
      <c r="Z336" s="84" t="s">
        <v>134</v>
      </c>
      <c r="AA336" s="86" t="n">
        <f aca="false">AA342+AA347+AA350</f>
        <v>55.39682</v>
      </c>
    </row>
    <row r="337" customFormat="false" ht="15" hidden="false" customHeight="false" outlineLevel="0" collapsed="false">
      <c r="R337" s="82" t="s">
        <v>284</v>
      </c>
      <c r="S337" s="82" t="s">
        <v>285</v>
      </c>
      <c r="W337" s="84" t="s">
        <v>123</v>
      </c>
      <c r="X337" s="84" t="s">
        <v>286</v>
      </c>
      <c r="Y337" s="84" t="s">
        <v>287</v>
      </c>
      <c r="Z337" s="84" t="s">
        <v>288</v>
      </c>
      <c r="AA337" s="84" t="s">
        <v>289</v>
      </c>
    </row>
    <row r="338" customFormat="false" ht="15" hidden="false" customHeight="false" outlineLevel="0" collapsed="false">
      <c r="S338" s="87" t="s">
        <v>290</v>
      </c>
    </row>
    <row r="339" customFormat="false" ht="15" hidden="false" customHeight="false" outlineLevel="0" collapsed="false">
      <c r="S339" s="1" t="s">
        <v>291</v>
      </c>
      <c r="W339" s="55" t="s">
        <v>292</v>
      </c>
      <c r="X339" s="56" t="n">
        <v>2</v>
      </c>
      <c r="Y339" s="57" t="n">
        <f aca="false">X339*8/$U$336</f>
        <v>0.533333333333333</v>
      </c>
      <c r="Z339" s="28" t="n">
        <v>28.94</v>
      </c>
      <c r="AA339" s="28" t="n">
        <f aca="false">Y339*Z339</f>
        <v>15.4346666666667</v>
      </c>
    </row>
    <row r="340" customFormat="false" ht="15" hidden="false" customHeight="false" outlineLevel="0" collapsed="false">
      <c r="S340" s="1" t="s">
        <v>293</v>
      </c>
      <c r="W340" s="55" t="s">
        <v>292</v>
      </c>
      <c r="X340" s="56" t="n">
        <v>1</v>
      </c>
      <c r="Y340" s="57" t="n">
        <f aca="false">X340*8/$U$336</f>
        <v>0.266666666666667</v>
      </c>
      <c r="Z340" s="28" t="n">
        <v>23.6</v>
      </c>
      <c r="AA340" s="28" t="n">
        <f aca="false">Y340*Z340</f>
        <v>6.29333333333333</v>
      </c>
    </row>
    <row r="341" customFormat="false" ht="15" hidden="false" customHeight="false" outlineLevel="0" collapsed="false">
      <c r="S341" s="1" t="s">
        <v>294</v>
      </c>
      <c r="W341" s="55" t="s">
        <v>292</v>
      </c>
      <c r="X341" s="56" t="n">
        <v>1</v>
      </c>
      <c r="Y341" s="57" t="n">
        <f aca="false">X341*8/$U$336</f>
        <v>0.266666666666667</v>
      </c>
      <c r="Z341" s="28" t="n">
        <v>21.36</v>
      </c>
      <c r="AA341" s="28" t="n">
        <f aca="false">Y341*Z341</f>
        <v>5.696</v>
      </c>
    </row>
    <row r="342" customFormat="false" ht="15" hidden="false" customHeight="false" outlineLevel="0" collapsed="false">
      <c r="W342" s="55"/>
      <c r="X342" s="56"/>
      <c r="Y342" s="57"/>
      <c r="AA342" s="86" t="n">
        <f aca="false">SUM(AA339:AA341)</f>
        <v>27.424</v>
      </c>
    </row>
    <row r="343" customFormat="false" ht="15" hidden="false" customHeight="false" outlineLevel="0" collapsed="false">
      <c r="S343" s="87" t="s">
        <v>654</v>
      </c>
      <c r="W343" s="55"/>
      <c r="X343" s="56"/>
      <c r="Y343" s="57"/>
      <c r="AA343" s="28"/>
    </row>
    <row r="344" customFormat="false" ht="15" hidden="false" customHeight="false" outlineLevel="0" collapsed="false">
      <c r="S344" s="1" t="s">
        <v>689</v>
      </c>
      <c r="W344" s="55" t="s">
        <v>297</v>
      </c>
      <c r="Y344" s="57" t="n">
        <v>0.3</v>
      </c>
      <c r="Z344" s="28" t="n">
        <v>2.64</v>
      </c>
      <c r="AA344" s="28" t="n">
        <f aca="false">Y344*Z344</f>
        <v>0.792</v>
      </c>
    </row>
    <row r="345" customFormat="false" ht="15" hidden="false" customHeight="false" outlineLevel="0" collapsed="false">
      <c r="S345" s="1" t="s">
        <v>302</v>
      </c>
      <c r="W345" s="55" t="s">
        <v>297</v>
      </c>
      <c r="Y345" s="57" t="n">
        <v>0.31</v>
      </c>
      <c r="Z345" s="28" t="n">
        <v>5.51</v>
      </c>
      <c r="AA345" s="28" t="n">
        <f aca="false">Y345*Z345</f>
        <v>1.7081</v>
      </c>
    </row>
    <row r="346" customFormat="false" ht="15" hidden="false" customHeight="false" outlineLevel="0" collapsed="false">
      <c r="S346" s="1" t="s">
        <v>670</v>
      </c>
      <c r="W346" s="55" t="s">
        <v>306</v>
      </c>
      <c r="Y346" s="57" t="n">
        <v>4.25</v>
      </c>
      <c r="Z346" s="28" t="n">
        <v>5.8</v>
      </c>
      <c r="AA346" s="28" t="n">
        <f aca="false">Y346*Z346</f>
        <v>24.65</v>
      </c>
    </row>
    <row r="347" customFormat="false" ht="15" hidden="false" customHeight="false" outlineLevel="0" collapsed="false">
      <c r="W347" s="55"/>
      <c r="Y347" s="57"/>
      <c r="Z347" s="28"/>
      <c r="AA347" s="86" t="n">
        <f aca="false">SUM(AA344:AA346)</f>
        <v>27.1501</v>
      </c>
    </row>
    <row r="348" customFormat="false" ht="15" hidden="false" customHeight="false" outlineLevel="0" collapsed="false">
      <c r="S348" s="87" t="s">
        <v>310</v>
      </c>
    </row>
    <row r="349" customFormat="false" ht="15" hidden="false" customHeight="false" outlineLevel="0" collapsed="false">
      <c r="S349" s="1" t="s">
        <v>311</v>
      </c>
      <c r="W349" s="55" t="s">
        <v>312</v>
      </c>
      <c r="Y349" s="57" t="n">
        <v>3</v>
      </c>
      <c r="Z349" s="28" t="n">
        <f aca="false">AA342</f>
        <v>27.424</v>
      </c>
      <c r="AA349" s="28" t="n">
        <f aca="false">Y349%*Z349</f>
        <v>0.82272</v>
      </c>
    </row>
    <row r="350" customFormat="false" ht="15" hidden="false" customHeight="false" outlineLevel="0" collapsed="false">
      <c r="R350" s="60"/>
      <c r="S350" s="60"/>
      <c r="T350" s="60"/>
      <c r="U350" s="60"/>
      <c r="V350" s="60"/>
      <c r="W350" s="60"/>
      <c r="X350" s="60"/>
      <c r="Y350" s="60"/>
      <c r="Z350" s="60"/>
      <c r="AA350" s="89" t="n">
        <f aca="false">SUM(AA349)</f>
        <v>0.82272</v>
      </c>
    </row>
    <row r="352" customFormat="false" ht="15" hidden="false" customHeight="false" outlineLevel="0" collapsed="false">
      <c r="R352" s="82" t="s">
        <v>278</v>
      </c>
      <c r="S352" s="82"/>
      <c r="T352" s="82" t="s">
        <v>531</v>
      </c>
      <c r="U352" s="82"/>
    </row>
    <row r="353" customFormat="false" ht="15" hidden="false" customHeight="false" outlineLevel="0" collapsed="false">
      <c r="R353" s="82" t="s">
        <v>279</v>
      </c>
      <c r="S353" s="82" t="s">
        <v>280</v>
      </c>
      <c r="T353" s="84" t="s">
        <v>281</v>
      </c>
      <c r="U353" s="85" t="n">
        <v>250</v>
      </c>
      <c r="V353" s="84" t="s">
        <v>282</v>
      </c>
      <c r="W353" s="85" t="n">
        <f aca="false">U353</f>
        <v>250</v>
      </c>
      <c r="X353" s="82" t="s">
        <v>283</v>
      </c>
      <c r="Z353" s="84" t="s">
        <v>134</v>
      </c>
      <c r="AA353" s="86" t="n">
        <f aca="false">AA358+AA362+AA366</f>
        <v>5.5639628445</v>
      </c>
    </row>
    <row r="354" customFormat="false" ht="15" hidden="false" customHeight="false" outlineLevel="0" collapsed="false">
      <c r="R354" s="82" t="s">
        <v>284</v>
      </c>
      <c r="S354" s="82" t="s">
        <v>285</v>
      </c>
      <c r="W354" s="84" t="s">
        <v>123</v>
      </c>
      <c r="X354" s="84" t="s">
        <v>286</v>
      </c>
      <c r="Y354" s="84" t="s">
        <v>287</v>
      </c>
      <c r="Z354" s="84" t="s">
        <v>288</v>
      </c>
      <c r="AA354" s="84" t="s">
        <v>289</v>
      </c>
    </row>
    <row r="355" customFormat="false" ht="15" hidden="false" customHeight="false" outlineLevel="0" collapsed="false">
      <c r="S355" s="87" t="s">
        <v>290</v>
      </c>
    </row>
    <row r="356" customFormat="false" ht="15" hidden="false" customHeight="false" outlineLevel="0" collapsed="false">
      <c r="S356" s="1" t="s">
        <v>291</v>
      </c>
      <c r="W356" s="55" t="s">
        <v>292</v>
      </c>
      <c r="X356" s="56" t="n">
        <v>1</v>
      </c>
      <c r="Y356" s="57" t="n">
        <f aca="false">X356*8/$U$353</f>
        <v>0.032</v>
      </c>
      <c r="Z356" s="28" t="n">
        <v>28.94</v>
      </c>
      <c r="AA356" s="28" t="n">
        <f aca="false">Y356*Z356</f>
        <v>0.92608</v>
      </c>
    </row>
    <row r="357" customFormat="false" ht="15" hidden="false" customHeight="false" outlineLevel="0" collapsed="false">
      <c r="S357" s="1" t="s">
        <v>680</v>
      </c>
      <c r="W357" s="55" t="s">
        <v>292</v>
      </c>
      <c r="X357" s="56" t="n">
        <v>1</v>
      </c>
      <c r="Y357" s="57" t="n">
        <f aca="false">X357*8/$U$353</f>
        <v>0.032</v>
      </c>
      <c r="Z357" s="28" t="n">
        <v>23.6</v>
      </c>
      <c r="AA357" s="28" t="n">
        <f aca="false">Y357*Z357</f>
        <v>0.7552</v>
      </c>
    </row>
    <row r="358" customFormat="false" ht="15" hidden="false" customHeight="false" outlineLevel="0" collapsed="false">
      <c r="W358" s="55"/>
      <c r="X358" s="56"/>
      <c r="AA358" s="124" t="n">
        <f aca="false">SUM(AA356:AA357)</f>
        <v>1.68128</v>
      </c>
    </row>
    <row r="359" customFormat="false" ht="15" hidden="false" customHeight="false" outlineLevel="0" collapsed="false">
      <c r="S359" s="125" t="s">
        <v>295</v>
      </c>
      <c r="W359" s="55"/>
      <c r="X359" s="56"/>
      <c r="Y359" s="99"/>
    </row>
    <row r="360" customFormat="false" ht="15" hidden="false" customHeight="false" outlineLevel="0" collapsed="false">
      <c r="S360" s="1" t="s">
        <v>296</v>
      </c>
      <c r="W360" s="55" t="s">
        <v>297</v>
      </c>
      <c r="X360" s="56"/>
      <c r="Y360" s="99" t="n">
        <v>0.03</v>
      </c>
      <c r="Z360" s="28" t="n">
        <v>2.64</v>
      </c>
      <c r="AA360" s="28" t="n">
        <f aca="false">Y360*Z360</f>
        <v>0.0792</v>
      </c>
    </row>
    <row r="361" customFormat="false" ht="15" hidden="false" customHeight="false" outlineLevel="0" collapsed="false">
      <c r="S361" s="1" t="s">
        <v>681</v>
      </c>
      <c r="W361" s="55" t="s">
        <v>297</v>
      </c>
      <c r="X361" s="56"/>
      <c r="Y361" s="99" t="n">
        <v>1.05</v>
      </c>
      <c r="Z361" s="28" t="n">
        <f aca="false">1012.71*3.379/1000</f>
        <v>3.42194709</v>
      </c>
      <c r="AA361" s="28" t="n">
        <f aca="false">Y361*Z361</f>
        <v>3.5930444445</v>
      </c>
    </row>
    <row r="362" customFormat="false" ht="15" hidden="false" customHeight="false" outlineLevel="0" collapsed="false">
      <c r="W362" s="55"/>
      <c r="X362" s="56"/>
      <c r="AA362" s="124" t="n">
        <f aca="false">SUM(AA360:AA361)</f>
        <v>3.6722444445</v>
      </c>
    </row>
    <row r="363" customFormat="false" ht="15" hidden="false" customHeight="false" outlineLevel="0" collapsed="false">
      <c r="S363" s="125" t="s">
        <v>318</v>
      </c>
      <c r="W363" s="55"/>
      <c r="X363" s="56"/>
    </row>
    <row r="364" customFormat="false" ht="15" hidden="false" customHeight="false" outlineLevel="0" collapsed="false">
      <c r="S364" s="1" t="s">
        <v>311</v>
      </c>
      <c r="W364" s="55" t="s">
        <v>312</v>
      </c>
      <c r="Y364" s="57" t="n">
        <v>3</v>
      </c>
      <c r="Z364" s="28" t="n">
        <f aca="false">AA358</f>
        <v>1.68128</v>
      </c>
      <c r="AA364" s="28" t="n">
        <f aca="false">Y364%*Z364</f>
        <v>0.0504384</v>
      </c>
    </row>
    <row r="365" customFormat="false" ht="15" hidden="false" customHeight="false" outlineLevel="0" collapsed="false">
      <c r="S365" s="1" t="s">
        <v>682</v>
      </c>
      <c r="W365" s="55" t="s">
        <v>292</v>
      </c>
      <c r="X365" s="56" t="n">
        <v>1</v>
      </c>
      <c r="Y365" s="57" t="n">
        <f aca="false">X365*8/$U$353</f>
        <v>0.032</v>
      </c>
      <c r="Z365" s="46" t="n">
        <v>5</v>
      </c>
      <c r="AA365" s="28" t="n">
        <f aca="false">Y365*Z365</f>
        <v>0.16</v>
      </c>
    </row>
    <row r="366" customFormat="false" ht="15" hidden="false" customHeight="false" outlineLevel="0" collapsed="false">
      <c r="R366" s="60"/>
      <c r="S366" s="60"/>
      <c r="T366" s="60"/>
      <c r="U366" s="60"/>
      <c r="V366" s="60"/>
      <c r="W366" s="60"/>
      <c r="X366" s="60"/>
      <c r="Y366" s="60"/>
      <c r="Z366" s="60"/>
      <c r="AA366" s="126" t="n">
        <f aca="false">SUM(AA364:AA365)</f>
        <v>0.2104384</v>
      </c>
    </row>
    <row r="368" customFormat="false" ht="15" hidden="false" customHeight="false" outlineLevel="0" collapsed="false">
      <c r="R368" s="82" t="s">
        <v>278</v>
      </c>
      <c r="S368" s="82"/>
      <c r="T368" s="82" t="s">
        <v>543</v>
      </c>
      <c r="U368" s="82"/>
    </row>
    <row r="369" customFormat="false" ht="15" hidden="false" customHeight="false" outlineLevel="0" collapsed="false">
      <c r="R369" s="82" t="s">
        <v>279</v>
      </c>
      <c r="S369" s="82" t="s">
        <v>417</v>
      </c>
      <c r="T369" s="84" t="s">
        <v>281</v>
      </c>
      <c r="U369" s="85" t="n">
        <v>22</v>
      </c>
      <c r="V369" s="84" t="s">
        <v>282</v>
      </c>
      <c r="W369" s="85" t="n">
        <f aca="false">U369</f>
        <v>22</v>
      </c>
      <c r="X369" s="82" t="s">
        <v>283</v>
      </c>
      <c r="Z369" s="84" t="s">
        <v>204</v>
      </c>
      <c r="AA369" s="86" t="n">
        <f aca="false">AA375+AA382+AA388</f>
        <v>392.537930909091</v>
      </c>
    </row>
    <row r="370" customFormat="false" ht="15" hidden="false" customHeight="false" outlineLevel="0" collapsed="false">
      <c r="R370" s="82" t="s">
        <v>284</v>
      </c>
      <c r="S370" s="82" t="s">
        <v>285</v>
      </c>
      <c r="W370" s="84" t="s">
        <v>123</v>
      </c>
      <c r="X370" s="84" t="s">
        <v>286</v>
      </c>
      <c r="Y370" s="84" t="s">
        <v>287</v>
      </c>
      <c r="Z370" s="84" t="s">
        <v>288</v>
      </c>
      <c r="AA370" s="84" t="s">
        <v>289</v>
      </c>
    </row>
    <row r="371" customFormat="false" ht="15" hidden="false" customHeight="false" outlineLevel="0" collapsed="false">
      <c r="S371" s="87" t="s">
        <v>290</v>
      </c>
    </row>
    <row r="372" customFormat="false" ht="15" hidden="false" customHeight="false" outlineLevel="0" collapsed="false">
      <c r="S372" s="1" t="s">
        <v>291</v>
      </c>
      <c r="W372" s="55" t="s">
        <v>292</v>
      </c>
      <c r="X372" s="56" t="n">
        <v>2</v>
      </c>
      <c r="Y372" s="57" t="n">
        <f aca="false">X372*8/$U$369</f>
        <v>0.727272727272727</v>
      </c>
      <c r="Z372" s="28" t="n">
        <v>28.94</v>
      </c>
      <c r="AA372" s="28" t="n">
        <f aca="false">Y372*Z372</f>
        <v>21.0472727272727</v>
      </c>
    </row>
    <row r="373" customFormat="false" ht="15" hidden="false" customHeight="false" outlineLevel="0" collapsed="false">
      <c r="S373" s="1" t="s">
        <v>293</v>
      </c>
      <c r="W373" s="55" t="s">
        <v>292</v>
      </c>
      <c r="X373" s="56" t="n">
        <v>1</v>
      </c>
      <c r="Y373" s="57" t="n">
        <f aca="false">X373*8/$U$369</f>
        <v>0.363636363636364</v>
      </c>
      <c r="Z373" s="28" t="n">
        <v>23.6</v>
      </c>
      <c r="AA373" s="28" t="n">
        <f aca="false">Y373*Z373</f>
        <v>8.58181818181818</v>
      </c>
    </row>
    <row r="374" customFormat="false" ht="15" hidden="false" customHeight="false" outlineLevel="0" collapsed="false">
      <c r="S374" s="1" t="s">
        <v>294</v>
      </c>
      <c r="W374" s="55" t="s">
        <v>292</v>
      </c>
      <c r="X374" s="56" t="n">
        <v>6</v>
      </c>
      <c r="Y374" s="57" t="n">
        <f aca="false">X374*8/$U$369</f>
        <v>2.18181818181818</v>
      </c>
      <c r="Z374" s="28" t="n">
        <v>21.36</v>
      </c>
      <c r="AA374" s="28" t="n">
        <f aca="false">Y374*Z374</f>
        <v>46.6036363636364</v>
      </c>
    </row>
    <row r="375" customFormat="false" ht="15" hidden="false" customHeight="false" outlineLevel="0" collapsed="false">
      <c r="W375" s="55"/>
      <c r="X375" s="56"/>
      <c r="Y375" s="57"/>
      <c r="AA375" s="86" t="n">
        <f aca="false">SUM(AA372:AA374)</f>
        <v>76.2327272727273</v>
      </c>
    </row>
    <row r="376" customFormat="false" ht="15" hidden="false" customHeight="false" outlineLevel="0" collapsed="false">
      <c r="S376" s="87" t="s">
        <v>654</v>
      </c>
      <c r="W376" s="55"/>
      <c r="X376" s="56"/>
      <c r="Y376" s="57"/>
      <c r="AA376" s="28"/>
    </row>
    <row r="377" customFormat="false" ht="15" hidden="false" customHeight="false" outlineLevel="0" collapsed="false">
      <c r="S377" s="1" t="s">
        <v>673</v>
      </c>
      <c r="W377" s="55" t="s">
        <v>204</v>
      </c>
      <c r="Y377" s="57" t="n">
        <v>0.53</v>
      </c>
      <c r="Z377" s="28" t="n">
        <v>55.08</v>
      </c>
      <c r="AA377" s="28" t="n">
        <f aca="false">Y377*Z377</f>
        <v>29.1924</v>
      </c>
    </row>
    <row r="378" customFormat="false" ht="15" hidden="false" customHeight="false" outlineLevel="0" collapsed="false">
      <c r="S378" s="1" t="s">
        <v>674</v>
      </c>
      <c r="W378" s="55" t="s">
        <v>204</v>
      </c>
      <c r="Y378" s="57" t="n">
        <v>0.52</v>
      </c>
      <c r="Z378" s="28" t="n">
        <v>47</v>
      </c>
      <c r="AA378" s="28" t="n">
        <f aca="false">Y378*Z378</f>
        <v>24.44</v>
      </c>
    </row>
    <row r="379" customFormat="false" ht="15" hidden="false" customHeight="false" outlineLevel="0" collapsed="false">
      <c r="S379" s="1" t="s">
        <v>307</v>
      </c>
      <c r="W379" s="55" t="s">
        <v>308</v>
      </c>
      <c r="Y379" s="57" t="n">
        <v>9.73</v>
      </c>
      <c r="Z379" s="28" t="n">
        <v>24.52</v>
      </c>
      <c r="AA379" s="28" t="n">
        <f aca="false">Y379*Z379</f>
        <v>238.5796</v>
      </c>
    </row>
    <row r="380" customFormat="false" ht="15" hidden="false" customHeight="false" outlineLevel="0" collapsed="false">
      <c r="S380" s="1" t="s">
        <v>656</v>
      </c>
      <c r="W380" s="55" t="s">
        <v>204</v>
      </c>
      <c r="Y380" s="57" t="n">
        <v>0.186</v>
      </c>
      <c r="Z380" s="1" t="n">
        <v>6.14</v>
      </c>
      <c r="AA380" s="28" t="n">
        <f aca="false">Y380*Z380</f>
        <v>1.14204</v>
      </c>
    </row>
    <row r="381" customFormat="false" ht="15" hidden="false" customHeight="false" outlineLevel="0" collapsed="false">
      <c r="S381" s="1" t="s">
        <v>666</v>
      </c>
      <c r="W381" s="55" t="s">
        <v>440</v>
      </c>
      <c r="Y381" s="57" t="n">
        <v>0.2</v>
      </c>
      <c r="Z381" s="1" t="n">
        <v>13.93</v>
      </c>
      <c r="AA381" s="28" t="n">
        <f aca="false">Y381*Z381</f>
        <v>2.786</v>
      </c>
    </row>
    <row r="382" customFormat="false" ht="15" hidden="false" customHeight="false" outlineLevel="0" collapsed="false">
      <c r="W382" s="55"/>
      <c r="Y382" s="57"/>
      <c r="Z382" s="28"/>
      <c r="AA382" s="86" t="n">
        <f aca="false">SUM(AA377:AA381)</f>
        <v>296.14004</v>
      </c>
    </row>
    <row r="383" customFormat="false" ht="15" hidden="false" customHeight="false" outlineLevel="0" collapsed="false">
      <c r="S383" s="87" t="s">
        <v>310</v>
      </c>
    </row>
    <row r="384" customFormat="false" ht="15" hidden="false" customHeight="false" outlineLevel="0" collapsed="false">
      <c r="S384" s="1" t="s">
        <v>311</v>
      </c>
      <c r="W384" s="55" t="s">
        <v>312</v>
      </c>
      <c r="Y384" s="57" t="n">
        <v>3</v>
      </c>
      <c r="Z384" s="28" t="n">
        <f aca="false">AA375</f>
        <v>76.2327272727273</v>
      </c>
      <c r="AA384" s="28" t="n">
        <f aca="false">Y384%*Z384</f>
        <v>2.28698181818182</v>
      </c>
    </row>
    <row r="385" customFormat="false" ht="15" hidden="false" customHeight="false" outlineLevel="0" collapsed="false">
      <c r="S385" s="1" t="s">
        <v>668</v>
      </c>
      <c r="W385" s="55" t="s">
        <v>338</v>
      </c>
      <c r="X385" s="56" t="n">
        <v>1</v>
      </c>
      <c r="Y385" s="57" t="n">
        <f aca="false">X385*8/$U$369</f>
        <v>0.363636363636364</v>
      </c>
      <c r="Z385" s="28" t="n">
        <v>25.63</v>
      </c>
      <c r="AA385" s="28" t="n">
        <f aca="false">Y385*Z385</f>
        <v>9.32</v>
      </c>
    </row>
    <row r="386" customFormat="false" ht="15" hidden="false" customHeight="false" outlineLevel="0" collapsed="false">
      <c r="S386" s="1" t="s">
        <v>691</v>
      </c>
      <c r="W386" s="55" t="s">
        <v>338</v>
      </c>
      <c r="X386" s="56" t="n">
        <v>1</v>
      </c>
      <c r="Y386" s="57" t="n">
        <f aca="false">X386*8/$U$369</f>
        <v>0.363636363636364</v>
      </c>
      <c r="Z386" s="46" t="n">
        <v>20</v>
      </c>
      <c r="AA386" s="28" t="n">
        <f aca="false">Y386*Z386</f>
        <v>7.27272727272727</v>
      </c>
    </row>
    <row r="387" customFormat="false" ht="15" hidden="false" customHeight="false" outlineLevel="0" collapsed="false">
      <c r="S387" s="1" t="s">
        <v>676</v>
      </c>
      <c r="W387" s="55" t="s">
        <v>338</v>
      </c>
      <c r="X387" s="56" t="n">
        <v>0.5</v>
      </c>
      <c r="Y387" s="57" t="n">
        <f aca="false">X387*8/$U$369</f>
        <v>0.181818181818182</v>
      </c>
      <c r="Z387" s="1" t="n">
        <v>7.07</v>
      </c>
      <c r="AA387" s="28" t="n">
        <f aca="false">Y387*Z387</f>
        <v>1.28545454545455</v>
      </c>
    </row>
    <row r="388" customFormat="false" ht="15" hidden="false" customHeight="false" outlineLevel="0" collapsed="false">
      <c r="R388" s="60"/>
      <c r="S388" s="60"/>
      <c r="T388" s="60"/>
      <c r="U388" s="60"/>
      <c r="V388" s="60"/>
      <c r="W388" s="60"/>
      <c r="X388" s="60"/>
      <c r="Y388" s="60"/>
      <c r="Z388" s="60"/>
      <c r="AA388" s="89" t="n">
        <f aca="false">SUM(AA384:AA387)</f>
        <v>20.1651636363636</v>
      </c>
    </row>
    <row r="390" customFormat="false" ht="15" hidden="false" customHeight="false" outlineLevel="0" collapsed="false">
      <c r="R390" s="82" t="s">
        <v>278</v>
      </c>
      <c r="S390" s="82"/>
      <c r="T390" s="82" t="s">
        <v>545</v>
      </c>
      <c r="U390" s="82"/>
    </row>
    <row r="391" customFormat="false" ht="15" hidden="false" customHeight="false" outlineLevel="0" collapsed="false">
      <c r="R391" s="82" t="s">
        <v>279</v>
      </c>
      <c r="S391" s="82" t="s">
        <v>280</v>
      </c>
      <c r="T391" s="84" t="s">
        <v>281</v>
      </c>
      <c r="U391" s="85" t="n">
        <v>25</v>
      </c>
      <c r="V391" s="84" t="s">
        <v>282</v>
      </c>
      <c r="W391" s="85" t="n">
        <f aca="false">U391</f>
        <v>25</v>
      </c>
      <c r="X391" s="82" t="s">
        <v>283</v>
      </c>
      <c r="Z391" s="84" t="s">
        <v>134</v>
      </c>
      <c r="AA391" s="86" t="n">
        <f aca="false">AA396+AA401+AA404</f>
        <v>66.12216</v>
      </c>
    </row>
    <row r="392" customFormat="false" ht="15" hidden="false" customHeight="false" outlineLevel="0" collapsed="false">
      <c r="R392" s="82" t="s">
        <v>284</v>
      </c>
      <c r="S392" s="82" t="s">
        <v>285</v>
      </c>
      <c r="W392" s="84" t="s">
        <v>123</v>
      </c>
      <c r="X392" s="84" t="s">
        <v>286</v>
      </c>
      <c r="Y392" s="84" t="s">
        <v>287</v>
      </c>
      <c r="Z392" s="84" t="s">
        <v>288</v>
      </c>
      <c r="AA392" s="84" t="s">
        <v>289</v>
      </c>
    </row>
    <row r="393" customFormat="false" ht="15" hidden="false" customHeight="false" outlineLevel="0" collapsed="false">
      <c r="S393" s="87" t="s">
        <v>290</v>
      </c>
    </row>
    <row r="394" customFormat="false" ht="15" hidden="false" customHeight="false" outlineLevel="0" collapsed="false">
      <c r="S394" s="1" t="s">
        <v>291</v>
      </c>
      <c r="W394" s="55" t="s">
        <v>292</v>
      </c>
      <c r="X394" s="56" t="n">
        <v>2</v>
      </c>
      <c r="Y394" s="57" t="n">
        <f aca="false">X394*8/$U$391</f>
        <v>0.64</v>
      </c>
      <c r="Z394" s="28" t="n">
        <v>28.94</v>
      </c>
      <c r="AA394" s="28" t="n">
        <f aca="false">Y394*Z394</f>
        <v>18.5216</v>
      </c>
    </row>
    <row r="395" customFormat="false" ht="15" hidden="false" customHeight="false" outlineLevel="0" collapsed="false">
      <c r="S395" s="1" t="s">
        <v>294</v>
      </c>
      <c r="W395" s="55" t="s">
        <v>292</v>
      </c>
      <c r="X395" s="56" t="n">
        <v>2</v>
      </c>
      <c r="Y395" s="57" t="n">
        <f aca="false">X395*8/$U$391</f>
        <v>0.64</v>
      </c>
      <c r="Z395" s="28" t="n">
        <v>21.36</v>
      </c>
      <c r="AA395" s="28" t="n">
        <f aca="false">Y395*Z395</f>
        <v>13.6704</v>
      </c>
    </row>
    <row r="396" customFormat="false" ht="15" hidden="false" customHeight="false" outlineLevel="0" collapsed="false">
      <c r="W396" s="55"/>
      <c r="X396" s="56"/>
      <c r="Y396" s="57"/>
      <c r="Z396" s="28"/>
      <c r="AA396" s="86" t="n">
        <f aca="false">SUM(AA394:AA395)</f>
        <v>32.192</v>
      </c>
    </row>
    <row r="397" customFormat="false" ht="15" hidden="false" customHeight="false" outlineLevel="0" collapsed="false">
      <c r="S397" s="87" t="s">
        <v>654</v>
      </c>
      <c r="W397" s="55"/>
      <c r="X397" s="56"/>
      <c r="Y397" s="57"/>
      <c r="AA397" s="28"/>
    </row>
    <row r="398" customFormat="false" ht="15" hidden="false" customHeight="false" outlineLevel="0" collapsed="false">
      <c r="S398" s="1" t="s">
        <v>689</v>
      </c>
      <c r="W398" s="55" t="s">
        <v>297</v>
      </c>
      <c r="Y398" s="57" t="n">
        <v>0.1</v>
      </c>
      <c r="Z398" s="28" t="n">
        <v>2.64</v>
      </c>
      <c r="AA398" s="28" t="n">
        <f aca="false">Y398*Z398</f>
        <v>0.264</v>
      </c>
    </row>
    <row r="399" customFormat="false" ht="15" hidden="false" customHeight="false" outlineLevel="0" collapsed="false">
      <c r="S399" s="1" t="s">
        <v>302</v>
      </c>
      <c r="W399" s="55" t="s">
        <v>297</v>
      </c>
      <c r="Y399" s="57" t="n">
        <v>0.24</v>
      </c>
      <c r="Z399" s="28" t="n">
        <v>5.51</v>
      </c>
      <c r="AA399" s="28" t="n">
        <f aca="false">Y399*Z399</f>
        <v>1.3224</v>
      </c>
    </row>
    <row r="400" customFormat="false" ht="15" hidden="false" customHeight="false" outlineLevel="0" collapsed="false">
      <c r="S400" s="1" t="s">
        <v>670</v>
      </c>
      <c r="W400" s="55" t="s">
        <v>306</v>
      </c>
      <c r="Y400" s="57" t="n">
        <v>5.41</v>
      </c>
      <c r="Z400" s="28" t="n">
        <v>5.8</v>
      </c>
      <c r="AA400" s="28" t="n">
        <f aca="false">Y400*Z400</f>
        <v>31.378</v>
      </c>
    </row>
    <row r="401" customFormat="false" ht="15" hidden="false" customHeight="false" outlineLevel="0" collapsed="false">
      <c r="W401" s="55"/>
      <c r="Y401" s="57"/>
      <c r="Z401" s="28"/>
      <c r="AA401" s="86" t="n">
        <f aca="false">SUM(AA398:AA400)</f>
        <v>32.9644</v>
      </c>
    </row>
    <row r="402" customFormat="false" ht="15" hidden="false" customHeight="false" outlineLevel="0" collapsed="false">
      <c r="S402" s="87" t="s">
        <v>310</v>
      </c>
    </row>
    <row r="403" customFormat="false" ht="15" hidden="false" customHeight="false" outlineLevel="0" collapsed="false">
      <c r="S403" s="1" t="s">
        <v>311</v>
      </c>
      <c r="W403" s="55" t="s">
        <v>312</v>
      </c>
      <c r="Y403" s="57" t="n">
        <v>3</v>
      </c>
      <c r="Z403" s="28" t="n">
        <f aca="false">AA396</f>
        <v>32.192</v>
      </c>
      <c r="AA403" s="28" t="n">
        <f aca="false">Y403%*Z403</f>
        <v>0.96576</v>
      </c>
    </row>
    <row r="404" customFormat="false" ht="15" hidden="false" customHeight="false" outlineLevel="0" collapsed="false">
      <c r="R404" s="60"/>
      <c r="S404" s="60"/>
      <c r="T404" s="60"/>
      <c r="U404" s="60"/>
      <c r="V404" s="60"/>
      <c r="W404" s="60"/>
      <c r="X404" s="60"/>
      <c r="Y404" s="60"/>
      <c r="Z404" s="60"/>
      <c r="AA404" s="89" t="n">
        <f aca="false">SUM(AA403)</f>
        <v>0.96576</v>
      </c>
    </row>
    <row r="406" customFormat="false" ht="15" hidden="false" customHeight="false" outlineLevel="0" collapsed="false">
      <c r="R406" s="82" t="s">
        <v>278</v>
      </c>
      <c r="S406" s="82"/>
      <c r="T406" s="82" t="s">
        <v>692</v>
      </c>
      <c r="U406" s="82"/>
    </row>
    <row r="407" customFormat="false" ht="15" hidden="false" customHeight="false" outlineLevel="0" collapsed="false">
      <c r="R407" s="82" t="s">
        <v>279</v>
      </c>
      <c r="S407" s="82" t="s">
        <v>280</v>
      </c>
      <c r="T407" s="84" t="s">
        <v>281</v>
      </c>
      <c r="U407" s="85" t="n">
        <v>250</v>
      </c>
      <c r="V407" s="84" t="s">
        <v>282</v>
      </c>
      <c r="W407" s="85" t="n">
        <f aca="false">U407</f>
        <v>250</v>
      </c>
      <c r="X407" s="82" t="s">
        <v>283</v>
      </c>
      <c r="Z407" s="84" t="s">
        <v>134</v>
      </c>
      <c r="AA407" s="86" t="n">
        <f aca="false">AA412+AA416+AA420</f>
        <v>5.5639628445</v>
      </c>
    </row>
    <row r="408" customFormat="false" ht="15" hidden="false" customHeight="false" outlineLevel="0" collapsed="false">
      <c r="R408" s="82" t="s">
        <v>284</v>
      </c>
      <c r="S408" s="82" t="s">
        <v>285</v>
      </c>
      <c r="W408" s="84" t="s">
        <v>123</v>
      </c>
      <c r="X408" s="84" t="s">
        <v>286</v>
      </c>
      <c r="Y408" s="84" t="s">
        <v>287</v>
      </c>
      <c r="Z408" s="84" t="s">
        <v>288</v>
      </c>
      <c r="AA408" s="84" t="s">
        <v>289</v>
      </c>
    </row>
    <row r="409" customFormat="false" ht="15" hidden="false" customHeight="false" outlineLevel="0" collapsed="false">
      <c r="S409" s="87" t="s">
        <v>290</v>
      </c>
    </row>
    <row r="410" customFormat="false" ht="15" hidden="false" customHeight="false" outlineLevel="0" collapsed="false">
      <c r="S410" s="1" t="s">
        <v>291</v>
      </c>
      <c r="W410" s="55" t="s">
        <v>292</v>
      </c>
      <c r="X410" s="56" t="n">
        <v>1</v>
      </c>
      <c r="Y410" s="99" t="n">
        <f aca="false">X410*8/$U$407</f>
        <v>0.032</v>
      </c>
      <c r="Z410" s="28" t="n">
        <v>28.94</v>
      </c>
      <c r="AA410" s="28" t="n">
        <f aca="false">Y410*Z410</f>
        <v>0.92608</v>
      </c>
    </row>
    <row r="411" customFormat="false" ht="15" hidden="false" customHeight="false" outlineLevel="0" collapsed="false">
      <c r="S411" s="1" t="s">
        <v>680</v>
      </c>
      <c r="W411" s="55" t="s">
        <v>292</v>
      </c>
      <c r="X411" s="56" t="n">
        <v>1</v>
      </c>
      <c r="Y411" s="99" t="n">
        <f aca="false">X411*8/$U$407</f>
        <v>0.032</v>
      </c>
      <c r="Z411" s="28" t="n">
        <v>23.6</v>
      </c>
      <c r="AA411" s="28" t="n">
        <f aca="false">Y411*Z411</f>
        <v>0.7552</v>
      </c>
    </row>
    <row r="412" customFormat="false" ht="15" hidden="false" customHeight="false" outlineLevel="0" collapsed="false">
      <c r="W412" s="55"/>
      <c r="X412" s="56"/>
      <c r="AA412" s="124" t="n">
        <f aca="false">SUM(AA410:AA411)</f>
        <v>1.68128</v>
      </c>
    </row>
    <row r="413" customFormat="false" ht="15" hidden="false" customHeight="false" outlineLevel="0" collapsed="false">
      <c r="S413" s="125" t="s">
        <v>295</v>
      </c>
      <c r="W413" s="55"/>
      <c r="X413" s="56"/>
      <c r="Y413" s="99"/>
    </row>
    <row r="414" customFormat="false" ht="15" hidden="false" customHeight="false" outlineLevel="0" collapsed="false">
      <c r="S414" s="1" t="s">
        <v>296</v>
      </c>
      <c r="W414" s="55" t="s">
        <v>297</v>
      </c>
      <c r="X414" s="56"/>
      <c r="Y414" s="99" t="n">
        <v>0.03</v>
      </c>
      <c r="Z414" s="28" t="n">
        <v>2.64</v>
      </c>
      <c r="AA414" s="28" t="n">
        <f aca="false">Y414*Z414</f>
        <v>0.0792</v>
      </c>
    </row>
    <row r="415" customFormat="false" ht="15" hidden="false" customHeight="false" outlineLevel="0" collapsed="false">
      <c r="S415" s="1" t="s">
        <v>681</v>
      </c>
      <c r="W415" s="55" t="s">
        <v>297</v>
      </c>
      <c r="X415" s="56"/>
      <c r="Y415" s="99" t="n">
        <v>1.05</v>
      </c>
      <c r="Z415" s="28" t="n">
        <f aca="false">1012.71*3.379/1000</f>
        <v>3.42194709</v>
      </c>
      <c r="AA415" s="28" t="n">
        <f aca="false">Y415*Z415</f>
        <v>3.5930444445</v>
      </c>
    </row>
    <row r="416" customFormat="false" ht="15" hidden="false" customHeight="false" outlineLevel="0" collapsed="false">
      <c r="W416" s="55"/>
      <c r="X416" s="56"/>
      <c r="AA416" s="124" t="n">
        <f aca="false">SUM(AA414:AA415)</f>
        <v>3.6722444445</v>
      </c>
    </row>
    <row r="417" customFormat="false" ht="15" hidden="false" customHeight="false" outlineLevel="0" collapsed="false">
      <c r="S417" s="125" t="s">
        <v>318</v>
      </c>
      <c r="W417" s="55"/>
      <c r="X417" s="56"/>
    </row>
    <row r="418" customFormat="false" ht="15" hidden="false" customHeight="false" outlineLevel="0" collapsed="false">
      <c r="S418" s="1" t="s">
        <v>311</v>
      </c>
      <c r="W418" s="55" t="s">
        <v>312</v>
      </c>
      <c r="Y418" s="57" t="n">
        <v>3</v>
      </c>
      <c r="Z418" s="28" t="n">
        <f aca="false">AA412</f>
        <v>1.68128</v>
      </c>
      <c r="AA418" s="28" t="n">
        <f aca="false">Y418%*Z418</f>
        <v>0.0504384</v>
      </c>
    </row>
    <row r="419" customFormat="false" ht="15" hidden="false" customHeight="false" outlineLevel="0" collapsed="false">
      <c r="S419" s="1" t="s">
        <v>682</v>
      </c>
      <c r="W419" s="55" t="s">
        <v>292</v>
      </c>
      <c r="X419" s="56" t="n">
        <v>1</v>
      </c>
      <c r="Y419" s="99" t="n">
        <f aca="false">X419*8/$U$407</f>
        <v>0.032</v>
      </c>
      <c r="Z419" s="46" t="n">
        <v>5</v>
      </c>
      <c r="AA419" s="28" t="n">
        <f aca="false">Y419*Z419</f>
        <v>0.16</v>
      </c>
    </row>
    <row r="420" customFormat="false" ht="15" hidden="false" customHeight="false" outlineLevel="0" collapsed="false">
      <c r="R420" s="60"/>
      <c r="S420" s="60"/>
      <c r="T420" s="60"/>
      <c r="U420" s="60"/>
      <c r="V420" s="60"/>
      <c r="W420" s="60"/>
      <c r="X420" s="60"/>
      <c r="Y420" s="60"/>
      <c r="Z420" s="60"/>
      <c r="AA420" s="126" t="n">
        <f aca="false">SUM(AA418:AA419)</f>
        <v>0.2104384</v>
      </c>
    </row>
    <row r="422" customFormat="false" ht="15" hidden="false" customHeight="false" outlineLevel="0" collapsed="false">
      <c r="R422" s="14" t="s">
        <v>278</v>
      </c>
      <c r="S422" s="14"/>
      <c r="T422" s="212" t="s">
        <v>695</v>
      </c>
      <c r="U422" s="14"/>
    </row>
    <row r="423" customFormat="false" ht="15" hidden="false" customHeight="false" outlineLevel="0" collapsed="false">
      <c r="R423" s="14" t="s">
        <v>279</v>
      </c>
      <c r="S423" s="14" t="s">
        <v>417</v>
      </c>
      <c r="T423" s="36" t="s">
        <v>281</v>
      </c>
      <c r="U423" s="52" t="n">
        <v>25</v>
      </c>
      <c r="V423" s="36" t="s">
        <v>282</v>
      </c>
      <c r="W423" s="52" t="n">
        <f aca="false">U423</f>
        <v>25</v>
      </c>
      <c r="X423" s="14" t="s">
        <v>283</v>
      </c>
      <c r="Z423" s="36" t="s">
        <v>204</v>
      </c>
      <c r="AA423" s="53" t="n">
        <f aca="false">AA431+AA440+AA445</f>
        <v>396.881736</v>
      </c>
    </row>
    <row r="424" customFormat="false" ht="15" hidden="false" customHeight="false" outlineLevel="0" collapsed="false">
      <c r="R424" s="14" t="s">
        <v>284</v>
      </c>
      <c r="S424" s="14" t="s">
        <v>285</v>
      </c>
      <c r="W424" s="36" t="s">
        <v>123</v>
      </c>
      <c r="X424" s="36" t="s">
        <v>286</v>
      </c>
      <c r="Y424" s="36" t="s">
        <v>287</v>
      </c>
      <c r="Z424" s="36" t="s">
        <v>288</v>
      </c>
      <c r="AA424" s="36" t="s">
        <v>289</v>
      </c>
    </row>
    <row r="425" customFormat="false" ht="15" hidden="false" customHeight="false" outlineLevel="0" collapsed="false">
      <c r="S425" s="54" t="s">
        <v>290</v>
      </c>
    </row>
    <row r="426" customFormat="false" ht="15" hidden="false" customHeight="false" outlineLevel="0" collapsed="false">
      <c r="S426" s="1" t="s">
        <v>651</v>
      </c>
      <c r="W426" s="55" t="s">
        <v>292</v>
      </c>
      <c r="X426" s="56" t="n">
        <v>0.2</v>
      </c>
      <c r="Y426" s="57" t="n">
        <f aca="false">X426*8/$U$423</f>
        <v>0.064</v>
      </c>
      <c r="Z426" s="213" t="n">
        <v>34.73</v>
      </c>
      <c r="AA426" s="28" t="n">
        <f aca="false">Y426*Z426</f>
        <v>2.22272</v>
      </c>
    </row>
    <row r="427" customFormat="false" ht="15" hidden="false" customHeight="false" outlineLevel="0" collapsed="false">
      <c r="S427" s="1" t="s">
        <v>291</v>
      </c>
      <c r="W427" s="55" t="s">
        <v>292</v>
      </c>
      <c r="X427" s="56" t="n">
        <v>2</v>
      </c>
      <c r="Y427" s="57" t="n">
        <f aca="false">X427*8/$U$423</f>
        <v>0.64</v>
      </c>
      <c r="Z427" s="213" t="n">
        <v>28.94</v>
      </c>
      <c r="AA427" s="28" t="n">
        <f aca="false">Y427*Z427</f>
        <v>18.5216</v>
      </c>
    </row>
    <row r="428" customFormat="false" ht="15" hidden="false" customHeight="false" outlineLevel="0" collapsed="false">
      <c r="S428" s="1" t="s">
        <v>680</v>
      </c>
      <c r="W428" s="55" t="s">
        <v>292</v>
      </c>
      <c r="X428" s="56" t="n">
        <v>1</v>
      </c>
      <c r="Y428" s="57" t="n">
        <f aca="false">X428*8/$U$423</f>
        <v>0.32</v>
      </c>
      <c r="Z428" s="1" t="n">
        <v>23.6</v>
      </c>
      <c r="AA428" s="28" t="n">
        <f aca="false">Y428*Z428</f>
        <v>7.552</v>
      </c>
    </row>
    <row r="429" customFormat="false" ht="15" hidden="false" customHeight="false" outlineLevel="0" collapsed="false">
      <c r="S429" s="1" t="s">
        <v>294</v>
      </c>
      <c r="W429" s="55" t="s">
        <v>292</v>
      </c>
      <c r="X429" s="56" t="n">
        <v>7</v>
      </c>
      <c r="Y429" s="57" t="n">
        <f aca="false">X429*8/$U$423</f>
        <v>2.24</v>
      </c>
      <c r="Z429" s="1" t="n">
        <v>21.36</v>
      </c>
      <c r="AA429" s="28" t="n">
        <f aca="false">Y429*Z429</f>
        <v>47.8464</v>
      </c>
    </row>
    <row r="430" customFormat="false" ht="15" hidden="false" customHeight="false" outlineLevel="0" collapsed="false">
      <c r="S430" s="1" t="s">
        <v>664</v>
      </c>
      <c r="W430" s="55" t="s">
        <v>292</v>
      </c>
      <c r="X430" s="56" t="n">
        <v>1</v>
      </c>
      <c r="Y430" s="57" t="n">
        <f aca="false">X430*8/$U$423</f>
        <v>0.32</v>
      </c>
      <c r="Z430" s="1" t="n">
        <v>29.94</v>
      </c>
      <c r="AA430" s="28" t="n">
        <f aca="false">Y430*Z430</f>
        <v>9.5808</v>
      </c>
    </row>
    <row r="431" customFormat="false" ht="15" hidden="false" customHeight="false" outlineLevel="0" collapsed="false">
      <c r="W431" s="55"/>
      <c r="AA431" s="53" t="n">
        <f aca="false">SUM(AA426:AA430)</f>
        <v>85.72352</v>
      </c>
    </row>
    <row r="432" customFormat="false" ht="15" hidden="false" customHeight="false" outlineLevel="0" collapsed="false">
      <c r="S432" s="54" t="s">
        <v>654</v>
      </c>
    </row>
    <row r="433" customFormat="false" ht="15" hidden="false" customHeight="false" outlineLevel="0" collapsed="false">
      <c r="S433" s="1" t="s">
        <v>696</v>
      </c>
      <c r="W433" s="55" t="s">
        <v>440</v>
      </c>
      <c r="Y433" s="57" t="n">
        <v>0.01</v>
      </c>
      <c r="Z433" s="28" t="n">
        <v>38.22</v>
      </c>
      <c r="AA433" s="28" t="n">
        <f aca="false">Y433*Z433</f>
        <v>0.3822</v>
      </c>
    </row>
    <row r="434" customFormat="false" ht="15" hidden="false" customHeight="false" outlineLevel="0" collapsed="false">
      <c r="S434" s="1" t="s">
        <v>697</v>
      </c>
      <c r="W434" s="55" t="s">
        <v>698</v>
      </c>
      <c r="Y434" s="57" t="n">
        <v>0.008</v>
      </c>
      <c r="Z434" s="28" t="n">
        <v>12.63</v>
      </c>
      <c r="AA434" s="28" t="n">
        <f aca="false">Y434*Z434</f>
        <v>0.10104</v>
      </c>
    </row>
    <row r="435" customFormat="false" ht="15" hidden="false" customHeight="false" outlineLevel="0" collapsed="false">
      <c r="S435" s="1" t="s">
        <v>699</v>
      </c>
      <c r="W435" s="55" t="s">
        <v>440</v>
      </c>
      <c r="Y435" s="57" t="n">
        <v>0.12</v>
      </c>
      <c r="Z435" s="28" t="n">
        <v>13.93</v>
      </c>
      <c r="AA435" s="28" t="n">
        <f aca="false">Y435*Z435</f>
        <v>1.6716</v>
      </c>
    </row>
    <row r="436" customFormat="false" ht="15" hidden="false" customHeight="false" outlineLevel="0" collapsed="false">
      <c r="S436" s="1" t="s">
        <v>700</v>
      </c>
      <c r="W436" s="55" t="s">
        <v>204</v>
      </c>
      <c r="Y436" s="57" t="n">
        <v>0.8</v>
      </c>
      <c r="Z436" s="28" t="n">
        <v>55.08</v>
      </c>
      <c r="AA436" s="28" t="n">
        <f aca="false">Y436*Z436</f>
        <v>44.064</v>
      </c>
    </row>
    <row r="437" customFormat="false" ht="15" hidden="false" customHeight="false" outlineLevel="0" collapsed="false">
      <c r="S437" s="1" t="s">
        <v>701</v>
      </c>
      <c r="W437" s="55" t="s">
        <v>204</v>
      </c>
      <c r="Y437" s="57" t="n">
        <v>0.5</v>
      </c>
      <c r="Z437" s="28" t="n">
        <v>47</v>
      </c>
      <c r="AA437" s="28" t="n">
        <f aca="false">Y437*Z437</f>
        <v>23.5</v>
      </c>
    </row>
    <row r="438" customFormat="false" ht="15" hidden="false" customHeight="false" outlineLevel="0" collapsed="false">
      <c r="S438" s="1" t="s">
        <v>665</v>
      </c>
      <c r="W438" s="55" t="s">
        <v>204</v>
      </c>
      <c r="Y438" s="57" t="n">
        <v>0.18</v>
      </c>
      <c r="Z438" s="28" t="n">
        <v>6.14</v>
      </c>
      <c r="AA438" s="28" t="n">
        <f aca="false">Y438*Z438</f>
        <v>1.1052</v>
      </c>
    </row>
    <row r="439" customFormat="false" ht="15" hidden="false" customHeight="false" outlineLevel="0" collapsed="false">
      <c r="S439" s="1" t="s">
        <v>702</v>
      </c>
      <c r="W439" s="55" t="s">
        <v>308</v>
      </c>
      <c r="Y439" s="57" t="n">
        <v>9.2</v>
      </c>
      <c r="Z439" s="28" t="n">
        <v>24.52</v>
      </c>
      <c r="AA439" s="28" t="n">
        <f aca="false">Y439*Z439</f>
        <v>225.584</v>
      </c>
    </row>
    <row r="440" customFormat="false" ht="15" hidden="false" customHeight="false" outlineLevel="0" collapsed="false">
      <c r="W440" s="55"/>
      <c r="Y440" s="57"/>
      <c r="Z440" s="28"/>
      <c r="AA440" s="53" t="n">
        <f aca="false">SUM(AA433:AA439)</f>
        <v>296.40804</v>
      </c>
    </row>
    <row r="441" customFormat="false" ht="15" hidden="false" customHeight="false" outlineLevel="0" collapsed="false">
      <c r="S441" s="54" t="s">
        <v>310</v>
      </c>
    </row>
    <row r="442" customFormat="false" ht="15" hidden="false" customHeight="false" outlineLevel="0" collapsed="false">
      <c r="S442" s="1" t="s">
        <v>703</v>
      </c>
      <c r="W442" s="55" t="s">
        <v>338</v>
      </c>
      <c r="X442" s="56" t="n">
        <v>1</v>
      </c>
      <c r="Y442" s="57" t="n">
        <f aca="false">X442*8/$U$423</f>
        <v>0.32</v>
      </c>
      <c r="Z442" s="28" t="n">
        <v>25.63</v>
      </c>
      <c r="AA442" s="28" t="n">
        <f aca="false">Y442*Z442</f>
        <v>8.2016</v>
      </c>
    </row>
    <row r="443" customFormat="false" ht="15" hidden="false" customHeight="false" outlineLevel="0" collapsed="false">
      <c r="S443" s="1" t="s">
        <v>704</v>
      </c>
      <c r="W443" s="55" t="s">
        <v>338</v>
      </c>
      <c r="X443" s="56" t="n">
        <v>1</v>
      </c>
      <c r="Y443" s="57" t="n">
        <f aca="false">X443*8/$U$423</f>
        <v>0.32</v>
      </c>
      <c r="Z443" s="28" t="n">
        <v>7.07</v>
      </c>
      <c r="AA443" s="28" t="n">
        <f aca="false">Y443*Z443</f>
        <v>2.2624</v>
      </c>
    </row>
    <row r="444" customFormat="false" ht="15" hidden="false" customHeight="false" outlineLevel="0" collapsed="false">
      <c r="S444" s="1" t="s">
        <v>311</v>
      </c>
      <c r="W444" s="55" t="s">
        <v>312</v>
      </c>
      <c r="Y444" s="57" t="n">
        <v>5</v>
      </c>
      <c r="Z444" s="28" t="n">
        <f aca="false">AA431</f>
        <v>85.72352</v>
      </c>
      <c r="AA444" s="28" t="n">
        <f aca="false">Y444%*Z444</f>
        <v>4.286176</v>
      </c>
    </row>
    <row r="445" customFormat="false" ht="15" hidden="false" customHeight="false" outlineLevel="0" collapsed="false">
      <c r="R445" s="60"/>
      <c r="S445" s="60"/>
      <c r="T445" s="60"/>
      <c r="U445" s="60"/>
      <c r="V445" s="60"/>
      <c r="W445" s="60"/>
      <c r="X445" s="60"/>
      <c r="Y445" s="60"/>
      <c r="Z445" s="80"/>
      <c r="AA445" s="61" t="n">
        <f aca="false">SUM(AA442:AA444)</f>
        <v>14.750176</v>
      </c>
    </row>
    <row r="447" customFormat="false" ht="15" hidden="false" customHeight="false" outlineLevel="0" collapsed="false">
      <c r="R447" s="14" t="s">
        <v>278</v>
      </c>
      <c r="S447" s="14"/>
      <c r="T447" s="212" t="s">
        <v>705</v>
      </c>
      <c r="U447" s="14"/>
    </row>
    <row r="448" customFormat="false" ht="15" hidden="false" customHeight="false" outlineLevel="0" collapsed="false">
      <c r="R448" s="14" t="s">
        <v>279</v>
      </c>
      <c r="S448" s="14" t="s">
        <v>280</v>
      </c>
      <c r="T448" s="36" t="s">
        <v>281</v>
      </c>
      <c r="U448" s="52" t="n">
        <v>35</v>
      </c>
      <c r="V448" s="36" t="s">
        <v>282</v>
      </c>
      <c r="W448" s="52" t="n">
        <f aca="false">U448</f>
        <v>35</v>
      </c>
      <c r="X448" s="14" t="s">
        <v>283</v>
      </c>
      <c r="Z448" s="36" t="s">
        <v>134</v>
      </c>
      <c r="AA448" s="53" t="n">
        <f aca="false">AA454+AA459+AA462</f>
        <v>45.7966</v>
      </c>
    </row>
    <row r="449" customFormat="false" ht="15" hidden="false" customHeight="false" outlineLevel="0" collapsed="false">
      <c r="R449" s="14" t="s">
        <v>284</v>
      </c>
      <c r="S449" s="14" t="s">
        <v>285</v>
      </c>
      <c r="W449" s="36" t="s">
        <v>123</v>
      </c>
      <c r="X449" s="36" t="s">
        <v>286</v>
      </c>
      <c r="Y449" s="36" t="s">
        <v>287</v>
      </c>
      <c r="Z449" s="36" t="s">
        <v>288</v>
      </c>
      <c r="AA449" s="36" t="s">
        <v>289</v>
      </c>
    </row>
    <row r="450" customFormat="false" ht="15" hidden="false" customHeight="false" outlineLevel="0" collapsed="false">
      <c r="S450" s="54" t="s">
        <v>290</v>
      </c>
    </row>
    <row r="451" customFormat="false" ht="15" hidden="false" customHeight="false" outlineLevel="0" collapsed="false">
      <c r="S451" s="1" t="s">
        <v>291</v>
      </c>
      <c r="W451" s="55" t="s">
        <v>292</v>
      </c>
      <c r="X451" s="56" t="n">
        <v>2</v>
      </c>
      <c r="Y451" s="57" t="n">
        <f aca="false">X451*8/$U$448</f>
        <v>0.457142857142857</v>
      </c>
      <c r="Z451" s="28" t="n">
        <v>28.94</v>
      </c>
      <c r="AA451" s="28" t="n">
        <f aca="false">Y451*Z451</f>
        <v>13.2297142857143</v>
      </c>
    </row>
    <row r="452" customFormat="false" ht="15" hidden="false" customHeight="false" outlineLevel="0" collapsed="false">
      <c r="S452" s="1" t="s">
        <v>680</v>
      </c>
      <c r="W452" s="55" t="s">
        <v>292</v>
      </c>
      <c r="X452" s="56" t="n">
        <v>1</v>
      </c>
      <c r="Y452" s="57" t="n">
        <f aca="false">X452*8/$U$448</f>
        <v>0.228571428571429</v>
      </c>
      <c r="Z452" s="1" t="n">
        <v>23.6</v>
      </c>
      <c r="AA452" s="28" t="n">
        <f aca="false">Y452*Z452</f>
        <v>5.39428571428571</v>
      </c>
    </row>
    <row r="453" customFormat="false" ht="15" hidden="false" customHeight="false" outlineLevel="0" collapsed="false">
      <c r="S453" s="1" t="s">
        <v>294</v>
      </c>
      <c r="W453" s="55" t="s">
        <v>292</v>
      </c>
      <c r="X453" s="56" t="n">
        <v>1</v>
      </c>
      <c r="Y453" s="57" t="n">
        <f aca="false">X453*8/$U$448</f>
        <v>0.228571428571429</v>
      </c>
      <c r="Z453" s="1" t="n">
        <v>21.36</v>
      </c>
      <c r="AA453" s="28" t="n">
        <f aca="false">Y453*Z453</f>
        <v>4.88228571428571</v>
      </c>
    </row>
    <row r="454" customFormat="false" ht="15" hidden="false" customHeight="false" outlineLevel="0" collapsed="false">
      <c r="W454" s="55"/>
      <c r="AA454" s="53" t="n">
        <f aca="false">SUM(AA451:AA453)</f>
        <v>23.5062857142857</v>
      </c>
    </row>
    <row r="455" customFormat="false" ht="15" hidden="false" customHeight="false" outlineLevel="0" collapsed="false">
      <c r="S455" s="54" t="s">
        <v>654</v>
      </c>
    </row>
    <row r="456" customFormat="false" ht="15" hidden="false" customHeight="false" outlineLevel="0" collapsed="false">
      <c r="S456" s="1" t="s">
        <v>689</v>
      </c>
      <c r="W456" s="55" t="s">
        <v>297</v>
      </c>
      <c r="Y456" s="57" t="n">
        <v>0.1</v>
      </c>
      <c r="Z456" s="28" t="n">
        <v>2.64</v>
      </c>
      <c r="AA456" s="28" t="n">
        <f aca="false">Y456*Z456</f>
        <v>0.264</v>
      </c>
    </row>
    <row r="457" customFormat="false" ht="15" hidden="false" customHeight="false" outlineLevel="0" collapsed="false">
      <c r="S457" s="1" t="s">
        <v>302</v>
      </c>
      <c r="W457" s="55" t="s">
        <v>297</v>
      </c>
      <c r="Y457" s="57" t="n">
        <v>0.1</v>
      </c>
      <c r="Z457" s="28" t="n">
        <v>5.51</v>
      </c>
      <c r="AA457" s="28" t="n">
        <f aca="false">Y457*Z457</f>
        <v>0.551</v>
      </c>
    </row>
    <row r="458" customFormat="false" ht="15" hidden="false" customHeight="false" outlineLevel="0" collapsed="false">
      <c r="S458" s="1" t="s">
        <v>670</v>
      </c>
      <c r="W458" s="55" t="s">
        <v>297</v>
      </c>
      <c r="Y458" s="57" t="n">
        <v>3.5</v>
      </c>
      <c r="Z458" s="28" t="n">
        <v>5.8</v>
      </c>
      <c r="AA458" s="28" t="n">
        <f aca="false">Y458*Z458</f>
        <v>20.3</v>
      </c>
    </row>
    <row r="459" customFormat="false" ht="15" hidden="false" customHeight="false" outlineLevel="0" collapsed="false">
      <c r="AA459" s="53" t="n">
        <f aca="false">SUM(AA456:AA458)</f>
        <v>21.115</v>
      </c>
    </row>
    <row r="460" customFormat="false" ht="15" hidden="false" customHeight="false" outlineLevel="0" collapsed="false">
      <c r="S460" s="54" t="s">
        <v>310</v>
      </c>
    </row>
    <row r="461" customFormat="false" ht="15" hidden="false" customHeight="false" outlineLevel="0" collapsed="false">
      <c r="S461" s="1" t="s">
        <v>311</v>
      </c>
      <c r="W461" s="55" t="s">
        <v>312</v>
      </c>
      <c r="Y461" s="57" t="n">
        <v>5</v>
      </c>
      <c r="Z461" s="28" t="n">
        <f aca="false">AA454</f>
        <v>23.5062857142857</v>
      </c>
      <c r="AA461" s="28" t="n">
        <f aca="false">Y461%*Z461</f>
        <v>1.17531428571429</v>
      </c>
    </row>
    <row r="462" customFormat="false" ht="15" hidden="false" customHeight="false" outlineLevel="0" collapsed="false">
      <c r="R462" s="60"/>
      <c r="S462" s="60"/>
      <c r="T462" s="60"/>
      <c r="U462" s="60"/>
      <c r="V462" s="60"/>
      <c r="W462" s="60"/>
      <c r="X462" s="60"/>
      <c r="Y462" s="60"/>
      <c r="Z462" s="60"/>
      <c r="AA462" s="61" t="n">
        <f aca="false">SUM(AA461)</f>
        <v>1.17531428571429</v>
      </c>
    </row>
    <row r="464" customFormat="false" ht="15" hidden="false" customHeight="false" outlineLevel="0" collapsed="false">
      <c r="R464" s="214" t="s">
        <v>278</v>
      </c>
      <c r="S464" s="214"/>
      <c r="T464" s="212" t="s">
        <v>563</v>
      </c>
    </row>
    <row r="465" customFormat="false" ht="15" hidden="false" customHeight="false" outlineLevel="0" collapsed="false">
      <c r="R465" s="214" t="s">
        <v>279</v>
      </c>
      <c r="S465" s="214" t="s">
        <v>706</v>
      </c>
      <c r="T465" s="215" t="s">
        <v>281</v>
      </c>
      <c r="U465" s="216" t="n">
        <v>250</v>
      </c>
      <c r="V465" s="215" t="s">
        <v>282</v>
      </c>
      <c r="W465" s="216" t="n">
        <f aca="false">U465</f>
        <v>250</v>
      </c>
      <c r="X465" s="214" t="s">
        <v>283</v>
      </c>
      <c r="Z465" s="215" t="s">
        <v>707</v>
      </c>
      <c r="AA465" s="124" t="n">
        <f aca="false">AA471+AA475+AA478</f>
        <v>5.4833634845</v>
      </c>
    </row>
    <row r="466" customFormat="false" ht="15" hidden="false" customHeight="false" outlineLevel="0" collapsed="false">
      <c r="R466" s="214" t="s">
        <v>284</v>
      </c>
      <c r="S466" s="214" t="s">
        <v>285</v>
      </c>
      <c r="W466" s="215" t="s">
        <v>123</v>
      </c>
      <c r="X466" s="215" t="s">
        <v>286</v>
      </c>
      <c r="Y466" s="215" t="s">
        <v>287</v>
      </c>
      <c r="Z466" s="215" t="s">
        <v>288</v>
      </c>
      <c r="AA466" s="215" t="s">
        <v>289</v>
      </c>
    </row>
    <row r="467" customFormat="false" ht="15" hidden="false" customHeight="false" outlineLevel="0" collapsed="false">
      <c r="S467" s="125" t="s">
        <v>290</v>
      </c>
      <c r="X467" s="56"/>
    </row>
    <row r="468" customFormat="false" ht="15" hidden="false" customHeight="false" outlineLevel="0" collapsed="false">
      <c r="S468" s="1" t="s">
        <v>291</v>
      </c>
      <c r="W468" s="55" t="s">
        <v>292</v>
      </c>
      <c r="X468" s="56" t="n">
        <v>1</v>
      </c>
      <c r="Y468" s="99" t="n">
        <f aca="false">X468*8/$U$465</f>
        <v>0.032</v>
      </c>
      <c r="Z468" s="213" t="n">
        <v>29.99</v>
      </c>
      <c r="AA468" s="28" t="n">
        <f aca="false">Y468*Z468</f>
        <v>0.95968</v>
      </c>
    </row>
    <row r="469" customFormat="false" ht="15" hidden="false" customHeight="false" outlineLevel="0" collapsed="false">
      <c r="S469" s="1" t="s">
        <v>680</v>
      </c>
      <c r="W469" s="55" t="s">
        <v>292</v>
      </c>
      <c r="X469" s="56" t="n">
        <v>1</v>
      </c>
      <c r="Y469" s="99" t="n">
        <f aca="false">X469*8/$U$465</f>
        <v>0.032</v>
      </c>
      <c r="Z469" s="1" t="n">
        <v>21.36</v>
      </c>
      <c r="AA469" s="28" t="n">
        <f aca="false">Y469*Z469</f>
        <v>0.68352</v>
      </c>
    </row>
    <row r="470" customFormat="false" ht="15" hidden="false" customHeight="false" outlineLevel="0" collapsed="false">
      <c r="S470" s="1" t="s">
        <v>651</v>
      </c>
      <c r="W470" s="55" t="s">
        <v>292</v>
      </c>
      <c r="X470" s="56" t="n">
        <v>0.1</v>
      </c>
      <c r="Y470" s="99" t="n">
        <f aca="false">X470*8/$U$465</f>
        <v>0.0032</v>
      </c>
      <c r="Z470" s="213" t="n">
        <v>35.99</v>
      </c>
      <c r="AA470" s="28" t="n">
        <f aca="false">Y470*Z470</f>
        <v>0.115168</v>
      </c>
    </row>
    <row r="471" customFormat="false" ht="15" hidden="false" customHeight="false" outlineLevel="0" collapsed="false">
      <c r="W471" s="55"/>
      <c r="X471" s="56"/>
      <c r="AA471" s="124" t="n">
        <f aca="false">SUM(AA468:AA470)</f>
        <v>1.758368</v>
      </c>
    </row>
    <row r="472" customFormat="false" ht="15" hidden="false" customHeight="false" outlineLevel="0" collapsed="false">
      <c r="S472" s="125" t="s">
        <v>295</v>
      </c>
      <c r="W472" s="55"/>
      <c r="X472" s="56"/>
      <c r="Y472" s="99"/>
    </row>
    <row r="473" customFormat="false" ht="15" hidden="false" customHeight="false" outlineLevel="0" collapsed="false">
      <c r="S473" s="1" t="s">
        <v>296</v>
      </c>
      <c r="W473" s="55" t="s">
        <v>297</v>
      </c>
      <c r="X473" s="56"/>
      <c r="Y473" s="99" t="n">
        <v>0.03</v>
      </c>
      <c r="Z473" s="28" t="n">
        <v>2.64</v>
      </c>
      <c r="AA473" s="28" t="n">
        <f aca="false">Y473*Z473</f>
        <v>0.0792</v>
      </c>
    </row>
    <row r="474" customFormat="false" ht="15" hidden="false" customHeight="false" outlineLevel="0" collapsed="false">
      <c r="S474" s="1" t="s">
        <v>681</v>
      </c>
      <c r="W474" s="55" t="s">
        <v>297</v>
      </c>
      <c r="X474" s="56"/>
      <c r="Y474" s="99" t="n">
        <v>1.05</v>
      </c>
      <c r="Z474" s="28" t="n">
        <f aca="false">1012.71*3.379/1000</f>
        <v>3.42194709</v>
      </c>
      <c r="AA474" s="28" t="n">
        <f aca="false">Y474*Z474</f>
        <v>3.5930444445</v>
      </c>
    </row>
    <row r="475" customFormat="false" ht="15" hidden="false" customHeight="false" outlineLevel="0" collapsed="false">
      <c r="W475" s="55"/>
      <c r="X475" s="56"/>
      <c r="AA475" s="124" t="n">
        <f aca="false">SUM(AA473:AA474)</f>
        <v>3.6722444445</v>
      </c>
    </row>
    <row r="476" customFormat="false" ht="15" hidden="false" customHeight="false" outlineLevel="0" collapsed="false">
      <c r="S476" s="125" t="s">
        <v>318</v>
      </c>
      <c r="W476" s="55"/>
      <c r="X476" s="56"/>
    </row>
    <row r="477" customFormat="false" ht="15" hidden="false" customHeight="false" outlineLevel="0" collapsed="false">
      <c r="S477" s="1" t="s">
        <v>311</v>
      </c>
      <c r="W477" s="55" t="s">
        <v>312</v>
      </c>
      <c r="Y477" s="57" t="n">
        <v>3</v>
      </c>
      <c r="Z477" s="28" t="n">
        <f aca="false">AA471</f>
        <v>1.758368</v>
      </c>
      <c r="AA477" s="28" t="n">
        <f aca="false">Y477%*Z477</f>
        <v>0.05275104</v>
      </c>
    </row>
    <row r="478" customFormat="false" ht="15" hidden="false" customHeight="false" outlineLevel="0" collapsed="false">
      <c r="R478" s="60"/>
      <c r="S478" s="60"/>
      <c r="T478" s="60"/>
      <c r="U478" s="60"/>
      <c r="V478" s="60"/>
      <c r="W478" s="60"/>
      <c r="X478" s="60"/>
      <c r="Y478" s="60"/>
      <c r="Z478" s="60"/>
      <c r="AA478" s="126" t="n">
        <f aca="false">SUM(AA477:AA477)</f>
        <v>0.05275104</v>
      </c>
    </row>
    <row r="480" customFormat="false" ht="15" hidden="false" customHeight="false" outlineLevel="0" collapsed="false">
      <c r="R480" s="214" t="s">
        <v>278</v>
      </c>
      <c r="S480" s="214"/>
      <c r="T480" s="214" t="s">
        <v>565</v>
      </c>
    </row>
    <row r="481" customFormat="false" ht="15" hidden="false" customHeight="false" outlineLevel="0" collapsed="false">
      <c r="R481" s="214" t="s">
        <v>279</v>
      </c>
      <c r="S481" s="214" t="s">
        <v>706</v>
      </c>
      <c r="T481" s="215" t="s">
        <v>281</v>
      </c>
      <c r="U481" s="216" t="n">
        <v>1600</v>
      </c>
      <c r="V481" s="215" t="s">
        <v>282</v>
      </c>
      <c r="W481" s="216" t="n">
        <f aca="false">U481</f>
        <v>1600</v>
      </c>
      <c r="X481" s="214" t="s">
        <v>283</v>
      </c>
      <c r="Z481" s="215" t="s">
        <v>707</v>
      </c>
      <c r="AA481" s="124" t="n">
        <f aca="false">AA487+AA491+AA494</f>
        <v>2.715605</v>
      </c>
    </row>
    <row r="482" customFormat="false" ht="15" hidden="false" customHeight="false" outlineLevel="0" collapsed="false">
      <c r="R482" s="214" t="s">
        <v>284</v>
      </c>
      <c r="S482" s="214" t="s">
        <v>285</v>
      </c>
      <c r="W482" s="215" t="s">
        <v>123</v>
      </c>
      <c r="X482" s="215" t="s">
        <v>286</v>
      </c>
      <c r="Y482" s="215" t="s">
        <v>287</v>
      </c>
      <c r="Z482" s="215" t="s">
        <v>288</v>
      </c>
      <c r="AA482" s="215" t="s">
        <v>289</v>
      </c>
    </row>
    <row r="483" customFormat="false" ht="15" hidden="false" customHeight="false" outlineLevel="0" collapsed="false">
      <c r="S483" s="125" t="s">
        <v>290</v>
      </c>
      <c r="X483" s="56"/>
    </row>
    <row r="484" customFormat="false" ht="15" hidden="false" customHeight="false" outlineLevel="0" collapsed="false">
      <c r="S484" s="1" t="s">
        <v>291</v>
      </c>
      <c r="W484" s="55" t="s">
        <v>292</v>
      </c>
      <c r="X484" s="56" t="n">
        <v>1</v>
      </c>
      <c r="Y484" s="57" t="n">
        <f aca="false">X484*8/$U$481</f>
        <v>0.005</v>
      </c>
      <c r="Z484" s="1" t="n">
        <v>28.94</v>
      </c>
      <c r="AA484" s="28" t="n">
        <f aca="false">Y484*Z484</f>
        <v>0.1447</v>
      </c>
    </row>
    <row r="485" customFormat="false" ht="15" hidden="false" customHeight="false" outlineLevel="0" collapsed="false">
      <c r="S485" s="1" t="s">
        <v>680</v>
      </c>
      <c r="W485" s="55" t="s">
        <v>292</v>
      </c>
      <c r="X485" s="56" t="n">
        <v>1</v>
      </c>
      <c r="Y485" s="57" t="n">
        <f aca="false">X485*8/$U$481</f>
        <v>0.005</v>
      </c>
      <c r="Z485" s="1" t="n">
        <v>23.6</v>
      </c>
      <c r="AA485" s="28" t="n">
        <f aca="false">Y485*Z485</f>
        <v>0.118</v>
      </c>
    </row>
    <row r="486" customFormat="false" ht="15" hidden="false" customHeight="false" outlineLevel="0" collapsed="false">
      <c r="S486" s="1" t="s">
        <v>294</v>
      </c>
      <c r="W486" s="55" t="s">
        <v>292</v>
      </c>
      <c r="X486" s="56" t="n">
        <v>6</v>
      </c>
      <c r="Y486" s="57" t="n">
        <f aca="false">X486*8/$U$481</f>
        <v>0.03</v>
      </c>
      <c r="Z486" s="1" t="n">
        <v>21.36</v>
      </c>
      <c r="AA486" s="28" t="n">
        <f aca="false">Y486*Z486</f>
        <v>0.6408</v>
      </c>
    </row>
    <row r="487" customFormat="false" ht="15" hidden="false" customHeight="false" outlineLevel="0" collapsed="false">
      <c r="W487" s="55"/>
      <c r="X487" s="56"/>
      <c r="AA487" s="124" t="n">
        <f aca="false">SUM(AA484:AA486)</f>
        <v>0.9035</v>
      </c>
    </row>
    <row r="488" customFormat="false" ht="15" hidden="false" customHeight="false" outlineLevel="0" collapsed="false">
      <c r="S488" s="125" t="s">
        <v>295</v>
      </c>
      <c r="W488" s="55"/>
      <c r="X488" s="56"/>
      <c r="Y488" s="99"/>
    </row>
    <row r="489" customFormat="false" ht="15" hidden="false" customHeight="false" outlineLevel="0" collapsed="false">
      <c r="S489" s="1" t="s">
        <v>709</v>
      </c>
      <c r="W489" s="55" t="s">
        <v>150</v>
      </c>
      <c r="X489" s="56"/>
      <c r="Y489" s="99" t="n">
        <v>1.05</v>
      </c>
      <c r="Z489" s="28" t="n">
        <v>1.7</v>
      </c>
      <c r="AA489" s="28" t="n">
        <f aca="false">Y489*Z489</f>
        <v>1.785</v>
      </c>
    </row>
    <row r="490" customFormat="false" ht="15" hidden="false" customHeight="false" outlineLevel="0" collapsed="false">
      <c r="W490" s="55"/>
      <c r="X490" s="56"/>
      <c r="Y490" s="99"/>
      <c r="Z490" s="28"/>
      <c r="AA490" s="28"/>
    </row>
    <row r="491" customFormat="false" ht="15" hidden="false" customHeight="false" outlineLevel="0" collapsed="false">
      <c r="W491" s="55"/>
      <c r="X491" s="56"/>
      <c r="AA491" s="124" t="n">
        <f aca="false">SUM(AA489:AA490)</f>
        <v>1.785</v>
      </c>
    </row>
    <row r="492" customFormat="false" ht="15" hidden="false" customHeight="false" outlineLevel="0" collapsed="false">
      <c r="S492" s="125" t="s">
        <v>318</v>
      </c>
      <c r="W492" s="55"/>
      <c r="X492" s="56"/>
    </row>
    <row r="493" customFormat="false" ht="15" hidden="false" customHeight="false" outlineLevel="0" collapsed="false">
      <c r="S493" s="1" t="s">
        <v>311</v>
      </c>
      <c r="W493" s="55" t="s">
        <v>312</v>
      </c>
      <c r="Y493" s="57" t="n">
        <v>3</v>
      </c>
      <c r="Z493" s="28" t="n">
        <f aca="false">AA487</f>
        <v>0.9035</v>
      </c>
      <c r="AA493" s="28" t="n">
        <f aca="false">Y493%*Z493</f>
        <v>0.027105</v>
      </c>
    </row>
    <row r="494" customFormat="false" ht="15" hidden="false" customHeight="false" outlineLevel="0" collapsed="false">
      <c r="R494" s="60"/>
      <c r="S494" s="60"/>
      <c r="T494" s="60"/>
      <c r="U494" s="60"/>
      <c r="V494" s="60"/>
      <c r="W494" s="60"/>
      <c r="X494" s="60"/>
      <c r="Y494" s="60"/>
      <c r="Z494" s="60"/>
      <c r="AA494" s="126" t="n">
        <f aca="false">SUM(AA493:AA493)</f>
        <v>0.027105</v>
      </c>
    </row>
    <row r="496" customFormat="false" ht="15" hidden="false" customHeight="false" outlineLevel="0" collapsed="false">
      <c r="R496" s="14" t="s">
        <v>278</v>
      </c>
      <c r="S496" s="14"/>
      <c r="T496" s="14" t="s">
        <v>570</v>
      </c>
      <c r="U496" s="14"/>
    </row>
    <row r="497" customFormat="false" ht="15" hidden="false" customHeight="false" outlineLevel="0" collapsed="false">
      <c r="R497" s="14" t="s">
        <v>279</v>
      </c>
      <c r="S497" s="14" t="s">
        <v>417</v>
      </c>
      <c r="T497" s="36" t="s">
        <v>281</v>
      </c>
      <c r="U497" s="52" t="n">
        <v>20</v>
      </c>
      <c r="V497" s="36" t="s">
        <v>282</v>
      </c>
      <c r="W497" s="52" t="n">
        <f aca="false">U497</f>
        <v>20</v>
      </c>
      <c r="X497" s="14" t="s">
        <v>283</v>
      </c>
      <c r="Z497" s="36" t="s">
        <v>204</v>
      </c>
      <c r="AA497" s="53" t="n">
        <f aca="false">AA506+AA513+AA519</f>
        <v>471.73034</v>
      </c>
    </row>
    <row r="498" customFormat="false" ht="15" hidden="false" customHeight="false" outlineLevel="0" collapsed="false">
      <c r="R498" s="14" t="s">
        <v>284</v>
      </c>
      <c r="S498" s="14" t="s">
        <v>285</v>
      </c>
      <c r="W498" s="36" t="s">
        <v>123</v>
      </c>
      <c r="X498" s="36" t="s">
        <v>286</v>
      </c>
      <c r="Y498" s="36" t="s">
        <v>287</v>
      </c>
      <c r="Z498" s="36" t="s">
        <v>288</v>
      </c>
      <c r="AA498" s="36" t="s">
        <v>289</v>
      </c>
    </row>
    <row r="499" customFormat="false" ht="15" hidden="false" customHeight="false" outlineLevel="0" collapsed="false">
      <c r="S499" s="54" t="s">
        <v>290</v>
      </c>
    </row>
    <row r="500" customFormat="false" ht="15" hidden="false" customHeight="false" outlineLevel="0" collapsed="false">
      <c r="W500" s="55"/>
      <c r="X500" s="56"/>
      <c r="Y500" s="57"/>
      <c r="Z500" s="213"/>
      <c r="AA500" s="28"/>
    </row>
    <row r="501" customFormat="false" ht="15" hidden="false" customHeight="false" outlineLevel="0" collapsed="false">
      <c r="S501" s="1" t="s">
        <v>651</v>
      </c>
      <c r="W501" s="55" t="s">
        <v>292</v>
      </c>
      <c r="X501" s="56" t="n">
        <v>0.2</v>
      </c>
      <c r="Y501" s="57" t="n">
        <f aca="false">X501*8/$U$497</f>
        <v>0.08</v>
      </c>
      <c r="Z501" s="1" t="n">
        <v>34.73</v>
      </c>
      <c r="AA501" s="28" t="n">
        <f aca="false">Y501*Z501</f>
        <v>2.7784</v>
      </c>
    </row>
    <row r="502" customFormat="false" ht="15" hidden="false" customHeight="false" outlineLevel="0" collapsed="false">
      <c r="S502" s="1" t="s">
        <v>291</v>
      </c>
      <c r="W502" s="55" t="s">
        <v>292</v>
      </c>
      <c r="X502" s="56" t="n">
        <v>2</v>
      </c>
      <c r="Y502" s="57" t="n">
        <f aca="false">X502*8/$U$497</f>
        <v>0.8</v>
      </c>
      <c r="Z502" s="1" t="n">
        <v>28.94</v>
      </c>
      <c r="AA502" s="28" t="n">
        <f aca="false">Y502*Z502</f>
        <v>23.152</v>
      </c>
    </row>
    <row r="503" customFormat="false" ht="15" hidden="false" customHeight="false" outlineLevel="0" collapsed="false">
      <c r="S503" s="1" t="s">
        <v>680</v>
      </c>
      <c r="W503" s="55" t="s">
        <v>292</v>
      </c>
      <c r="X503" s="56" t="n">
        <v>2</v>
      </c>
      <c r="Y503" s="57" t="n">
        <f aca="false">X503*8/$U$497</f>
        <v>0.8</v>
      </c>
      <c r="Z503" s="1" t="n">
        <v>23.6</v>
      </c>
      <c r="AA503" s="28" t="n">
        <f aca="false">Y503*Z503</f>
        <v>18.88</v>
      </c>
    </row>
    <row r="504" customFormat="false" ht="15" hidden="false" customHeight="false" outlineLevel="0" collapsed="false">
      <c r="S504" s="1" t="s">
        <v>294</v>
      </c>
      <c r="W504" s="55" t="s">
        <v>292</v>
      </c>
      <c r="X504" s="56" t="n">
        <v>12</v>
      </c>
      <c r="Y504" s="57" t="n">
        <f aca="false">X504*8/$U$497</f>
        <v>4.8</v>
      </c>
      <c r="Z504" s="1" t="n">
        <v>21.36</v>
      </c>
      <c r="AA504" s="28" t="n">
        <f aca="false">Y504*Z504</f>
        <v>102.528</v>
      </c>
    </row>
    <row r="505" customFormat="false" ht="15" hidden="false" customHeight="false" outlineLevel="0" collapsed="false">
      <c r="S505" s="1" t="s">
        <v>664</v>
      </c>
      <c r="W505" s="55" t="s">
        <v>292</v>
      </c>
      <c r="X505" s="56" t="n">
        <v>2</v>
      </c>
      <c r="Y505" s="57" t="n">
        <f aca="false">X505*8/$U$497</f>
        <v>0.8</v>
      </c>
      <c r="Z505" s="1" t="n">
        <v>29.94</v>
      </c>
      <c r="AA505" s="28" t="n">
        <f aca="false">Y505*Z505</f>
        <v>23.952</v>
      </c>
    </row>
    <row r="506" customFormat="false" ht="15" hidden="false" customHeight="false" outlineLevel="0" collapsed="false">
      <c r="W506" s="55"/>
      <c r="AA506" s="53" t="n">
        <f aca="false">SUM(AA500:AA504)</f>
        <v>147.3384</v>
      </c>
    </row>
    <row r="507" customFormat="false" ht="15" hidden="false" customHeight="false" outlineLevel="0" collapsed="false">
      <c r="S507" s="54" t="s">
        <v>654</v>
      </c>
    </row>
    <row r="508" customFormat="false" ht="15" hidden="false" customHeight="false" outlineLevel="0" collapsed="false">
      <c r="S508" s="1" t="s">
        <v>699</v>
      </c>
      <c r="W508" s="55" t="s">
        <v>440</v>
      </c>
      <c r="Y508" s="57" t="n">
        <v>0.186</v>
      </c>
      <c r="Z508" s="28" t="n">
        <v>13.93</v>
      </c>
      <c r="AA508" s="28" t="n">
        <f aca="false">Y508*Z508</f>
        <v>2.59098</v>
      </c>
    </row>
    <row r="509" customFormat="false" ht="15" hidden="false" customHeight="false" outlineLevel="0" collapsed="false">
      <c r="S509" s="1" t="s">
        <v>700</v>
      </c>
      <c r="W509" s="55" t="s">
        <v>204</v>
      </c>
      <c r="Y509" s="57" t="n">
        <v>0.53</v>
      </c>
      <c r="Z509" s="28" t="n">
        <v>55.08</v>
      </c>
      <c r="AA509" s="28" t="n">
        <f aca="false">Y509*Z509</f>
        <v>29.1924</v>
      </c>
    </row>
    <row r="510" customFormat="false" ht="15" hidden="false" customHeight="false" outlineLevel="0" collapsed="false">
      <c r="S510" s="1" t="s">
        <v>701</v>
      </c>
      <c r="W510" s="55" t="s">
        <v>204</v>
      </c>
      <c r="Y510" s="57" t="n">
        <v>0.52</v>
      </c>
      <c r="Z510" s="28" t="n">
        <v>47</v>
      </c>
      <c r="AA510" s="28" t="n">
        <f aca="false">Y510*Z510</f>
        <v>24.44</v>
      </c>
    </row>
    <row r="511" customFormat="false" ht="15" hidden="false" customHeight="false" outlineLevel="0" collapsed="false">
      <c r="S511" s="1" t="s">
        <v>665</v>
      </c>
      <c r="W511" s="55" t="s">
        <v>204</v>
      </c>
      <c r="Y511" s="57" t="n">
        <v>0.186</v>
      </c>
      <c r="Z511" s="28" t="n">
        <v>6.14</v>
      </c>
      <c r="AA511" s="28" t="n">
        <f aca="false">Y511*Z511</f>
        <v>1.14204</v>
      </c>
    </row>
    <row r="512" customFormat="false" ht="15" hidden="false" customHeight="false" outlineLevel="0" collapsed="false">
      <c r="S512" s="1" t="s">
        <v>702</v>
      </c>
      <c r="W512" s="55" t="s">
        <v>308</v>
      </c>
      <c r="Y512" s="57" t="n">
        <v>9.73</v>
      </c>
      <c r="Z512" s="28" t="n">
        <v>24.52</v>
      </c>
      <c r="AA512" s="28" t="n">
        <f aca="false">Y512*Z512</f>
        <v>238.5796</v>
      </c>
    </row>
    <row r="513" customFormat="false" ht="15" hidden="false" customHeight="false" outlineLevel="0" collapsed="false">
      <c r="W513" s="55"/>
      <c r="Y513" s="57"/>
      <c r="Z513" s="28"/>
      <c r="AA513" s="53" t="n">
        <f aca="false">SUM(AA508:AA512)</f>
        <v>295.94502</v>
      </c>
    </row>
    <row r="514" customFormat="false" ht="15" hidden="false" customHeight="false" outlineLevel="0" collapsed="false">
      <c r="S514" s="54" t="s">
        <v>310</v>
      </c>
    </row>
    <row r="515" customFormat="false" ht="15" hidden="false" customHeight="false" outlineLevel="0" collapsed="false">
      <c r="S515" s="1" t="s">
        <v>703</v>
      </c>
      <c r="W515" s="55" t="s">
        <v>338</v>
      </c>
      <c r="X515" s="56" t="n">
        <v>1</v>
      </c>
      <c r="Y515" s="57" t="n">
        <f aca="false">X515*8/$U$497</f>
        <v>0.4</v>
      </c>
      <c r="Z515" s="28" t="n">
        <v>25.63</v>
      </c>
      <c r="AA515" s="28" t="n">
        <f aca="false">Y515*Z515</f>
        <v>10.252</v>
      </c>
    </row>
    <row r="516" customFormat="false" ht="15" hidden="false" customHeight="false" outlineLevel="0" collapsed="false">
      <c r="S516" s="1" t="s">
        <v>704</v>
      </c>
      <c r="W516" s="55" t="s">
        <v>338</v>
      </c>
      <c r="X516" s="56" t="n">
        <v>1</v>
      </c>
      <c r="Y516" s="57" t="n">
        <f aca="false">X516*8/$U$497</f>
        <v>0.4</v>
      </c>
      <c r="Z516" s="28" t="n">
        <v>7.07</v>
      </c>
      <c r="AA516" s="28" t="n">
        <f aca="false">Y516*Z516</f>
        <v>2.828</v>
      </c>
    </row>
    <row r="517" customFormat="false" ht="15" hidden="false" customHeight="false" outlineLevel="0" collapsed="false">
      <c r="S517" s="1" t="s">
        <v>710</v>
      </c>
      <c r="W517" s="55" t="s">
        <v>338</v>
      </c>
      <c r="X517" s="56" t="n">
        <v>1</v>
      </c>
      <c r="Y517" s="57" t="n">
        <f aca="false">X517*8/$U$497</f>
        <v>0.4</v>
      </c>
      <c r="Z517" s="28" t="n">
        <v>20</v>
      </c>
      <c r="AA517" s="28" t="n">
        <f aca="false">Y517*Z517</f>
        <v>8</v>
      </c>
    </row>
    <row r="518" customFormat="false" ht="15" hidden="false" customHeight="false" outlineLevel="0" collapsed="false">
      <c r="S518" s="1" t="s">
        <v>311</v>
      </c>
      <c r="W518" s="55" t="s">
        <v>312</v>
      </c>
      <c r="Y518" s="57" t="n">
        <v>5</v>
      </c>
      <c r="Z518" s="28" t="n">
        <f aca="false">AA506</f>
        <v>147.3384</v>
      </c>
      <c r="AA518" s="28" t="n">
        <f aca="false">Y518%*Z518</f>
        <v>7.36692</v>
      </c>
    </row>
    <row r="519" customFormat="false" ht="15" hidden="false" customHeight="false" outlineLevel="0" collapsed="false">
      <c r="R519" s="60"/>
      <c r="S519" s="60"/>
      <c r="T519" s="60"/>
      <c r="U519" s="60"/>
      <c r="V519" s="60"/>
      <c r="W519" s="60"/>
      <c r="X519" s="60"/>
      <c r="Y519" s="60"/>
      <c r="Z519" s="80"/>
      <c r="AA519" s="61" t="n">
        <f aca="false">SUM(AA515:AA518)</f>
        <v>28.44692</v>
      </c>
    </row>
    <row r="521" customFormat="false" ht="15" hidden="false" customHeight="false" outlineLevel="0" collapsed="false">
      <c r="R521" s="14" t="s">
        <v>278</v>
      </c>
      <c r="S521" s="14"/>
      <c r="T521" s="14" t="s">
        <v>572</v>
      </c>
      <c r="U521" s="14"/>
    </row>
    <row r="522" customFormat="false" ht="15" hidden="false" customHeight="false" outlineLevel="0" collapsed="false">
      <c r="R522" s="14" t="s">
        <v>279</v>
      </c>
      <c r="S522" s="14" t="s">
        <v>280</v>
      </c>
      <c r="T522" s="36" t="s">
        <v>281</v>
      </c>
      <c r="U522" s="52" t="n">
        <v>12</v>
      </c>
      <c r="V522" s="36" t="s">
        <v>282</v>
      </c>
      <c r="W522" s="52" t="n">
        <f aca="false">U522</f>
        <v>12</v>
      </c>
      <c r="X522" s="14" t="s">
        <v>283</v>
      </c>
      <c r="Z522" s="36" t="s">
        <v>134</v>
      </c>
      <c r="AA522" s="53" t="n">
        <f aca="false">AA528+AA533+AA536</f>
        <v>67.9480666666667</v>
      </c>
    </row>
    <row r="523" customFormat="false" ht="15" hidden="false" customHeight="false" outlineLevel="0" collapsed="false">
      <c r="R523" s="14" t="s">
        <v>284</v>
      </c>
      <c r="S523" s="14" t="s">
        <v>285</v>
      </c>
      <c r="W523" s="36" t="s">
        <v>123</v>
      </c>
      <c r="X523" s="36" t="s">
        <v>286</v>
      </c>
      <c r="Y523" s="36" t="s">
        <v>287</v>
      </c>
      <c r="Z523" s="36" t="s">
        <v>288</v>
      </c>
      <c r="AA523" s="36" t="s">
        <v>289</v>
      </c>
    </row>
    <row r="524" customFormat="false" ht="15" hidden="false" customHeight="false" outlineLevel="0" collapsed="false">
      <c r="S524" s="54" t="s">
        <v>290</v>
      </c>
    </row>
    <row r="525" customFormat="false" ht="15" hidden="false" customHeight="false" outlineLevel="0" collapsed="false">
      <c r="S525" s="1" t="s">
        <v>291</v>
      </c>
      <c r="W525" s="55" t="s">
        <v>292</v>
      </c>
      <c r="X525" s="56" t="n">
        <v>1</v>
      </c>
      <c r="Y525" s="57" t="n">
        <f aca="false">X525*8/$U$522</f>
        <v>0.666666666666667</v>
      </c>
      <c r="Z525" s="213" t="n">
        <v>28.94</v>
      </c>
      <c r="AA525" s="28" t="n">
        <f aca="false">Y525*Z525</f>
        <v>19.2933333333333</v>
      </c>
    </row>
    <row r="526" customFormat="false" ht="15" hidden="false" customHeight="false" outlineLevel="0" collapsed="false">
      <c r="S526" s="1" t="s">
        <v>680</v>
      </c>
      <c r="W526" s="55" t="s">
        <v>292</v>
      </c>
      <c r="X526" s="56" t="n">
        <v>1</v>
      </c>
      <c r="Y526" s="57" t="n">
        <f aca="false">X526*8/$U$522</f>
        <v>0.666666666666667</v>
      </c>
      <c r="Z526" s="1" t="n">
        <v>23.6</v>
      </c>
      <c r="AA526" s="28" t="n">
        <f aca="false">Y526*Z526</f>
        <v>15.7333333333333</v>
      </c>
    </row>
    <row r="527" customFormat="false" ht="15" hidden="false" customHeight="false" outlineLevel="0" collapsed="false">
      <c r="S527" s="1" t="s">
        <v>294</v>
      </c>
      <c r="W527" s="55" t="s">
        <v>292</v>
      </c>
      <c r="X527" s="56" t="n">
        <v>0.5</v>
      </c>
      <c r="Y527" s="57" t="n">
        <f aca="false">X527*8/$U$522</f>
        <v>0.333333333333333</v>
      </c>
      <c r="Z527" s="1" t="n">
        <v>21.36</v>
      </c>
      <c r="AA527" s="28" t="n">
        <f aca="false">Y527*Z527</f>
        <v>7.12</v>
      </c>
    </row>
    <row r="528" customFormat="false" ht="15" hidden="false" customHeight="false" outlineLevel="0" collapsed="false">
      <c r="W528" s="55"/>
      <c r="AA528" s="53" t="n">
        <f aca="false">SUM(AA525:AA527)</f>
        <v>42.1466666666667</v>
      </c>
    </row>
    <row r="529" customFormat="false" ht="15" hidden="false" customHeight="false" outlineLevel="0" collapsed="false">
      <c r="S529" s="54" t="s">
        <v>654</v>
      </c>
    </row>
    <row r="530" customFormat="false" ht="15" hidden="false" customHeight="false" outlineLevel="0" collapsed="false">
      <c r="S530" s="1" t="s">
        <v>689</v>
      </c>
      <c r="W530" s="55" t="s">
        <v>297</v>
      </c>
      <c r="Y530" s="57" t="n">
        <v>0.1</v>
      </c>
      <c r="Z530" s="28" t="n">
        <v>2.64</v>
      </c>
      <c r="AA530" s="28" t="n">
        <f aca="false">Y530*Z530</f>
        <v>0.264</v>
      </c>
    </row>
    <row r="531" customFormat="false" ht="15" hidden="false" customHeight="false" outlineLevel="0" collapsed="false">
      <c r="S531" s="1" t="s">
        <v>302</v>
      </c>
      <c r="W531" s="55" t="s">
        <v>297</v>
      </c>
      <c r="Y531" s="57" t="n">
        <v>0.1</v>
      </c>
      <c r="Z531" s="28" t="n">
        <v>5.51</v>
      </c>
      <c r="AA531" s="28" t="n">
        <f aca="false">Y531*Z531</f>
        <v>0.551</v>
      </c>
    </row>
    <row r="532" customFormat="false" ht="15" hidden="false" customHeight="false" outlineLevel="0" collapsed="false">
      <c r="S532" s="1" t="s">
        <v>670</v>
      </c>
      <c r="W532" s="55" t="s">
        <v>297</v>
      </c>
      <c r="Y532" s="57" t="n">
        <v>4.09</v>
      </c>
      <c r="Z532" s="28" t="n">
        <v>5.8</v>
      </c>
      <c r="AA532" s="28" t="n">
        <f aca="false">Y532*Z532</f>
        <v>23.722</v>
      </c>
    </row>
    <row r="533" customFormat="false" ht="15" hidden="false" customHeight="false" outlineLevel="0" collapsed="false">
      <c r="AA533" s="53" t="n">
        <f aca="false">SUM(AA530:AA532)</f>
        <v>24.537</v>
      </c>
    </row>
    <row r="534" customFormat="false" ht="15" hidden="false" customHeight="false" outlineLevel="0" collapsed="false">
      <c r="S534" s="54" t="s">
        <v>310</v>
      </c>
    </row>
    <row r="535" customFormat="false" ht="15" hidden="false" customHeight="false" outlineLevel="0" collapsed="false">
      <c r="S535" s="1" t="s">
        <v>311</v>
      </c>
      <c r="W535" s="55" t="s">
        <v>312</v>
      </c>
      <c r="Y535" s="57" t="n">
        <v>3</v>
      </c>
      <c r="Z535" s="28" t="n">
        <f aca="false">AA528</f>
        <v>42.1466666666667</v>
      </c>
      <c r="AA535" s="28" t="n">
        <f aca="false">Y535%*Z535</f>
        <v>1.2644</v>
      </c>
    </row>
    <row r="536" customFormat="false" ht="15" hidden="false" customHeight="false" outlineLevel="0" collapsed="false">
      <c r="R536" s="60"/>
      <c r="S536" s="60"/>
      <c r="T536" s="60"/>
      <c r="U536" s="60"/>
      <c r="V536" s="60"/>
      <c r="W536" s="60"/>
      <c r="X536" s="60"/>
      <c r="Y536" s="60"/>
      <c r="Z536" s="60"/>
      <c r="AA536" s="61" t="n">
        <f aca="false">SUM(AA535)</f>
        <v>1.2644</v>
      </c>
    </row>
    <row r="538" customFormat="false" ht="15" hidden="false" customHeight="false" outlineLevel="0" collapsed="false">
      <c r="R538" s="214" t="s">
        <v>278</v>
      </c>
      <c r="S538" s="214"/>
      <c r="T538" s="214" t="s">
        <v>711</v>
      </c>
    </row>
    <row r="539" customFormat="false" ht="15" hidden="false" customHeight="false" outlineLevel="0" collapsed="false">
      <c r="R539" s="214" t="s">
        <v>279</v>
      </c>
      <c r="S539" s="214" t="s">
        <v>706</v>
      </c>
      <c r="T539" s="215" t="s">
        <v>281</v>
      </c>
      <c r="U539" s="216" t="n">
        <v>250</v>
      </c>
      <c r="V539" s="215" t="s">
        <v>282</v>
      </c>
      <c r="W539" s="216" t="n">
        <f aca="false">U539</f>
        <v>250</v>
      </c>
      <c r="X539" s="214" t="s">
        <v>283</v>
      </c>
      <c r="Z539" s="215" t="s">
        <v>707</v>
      </c>
      <c r="AA539" s="124" t="n">
        <f aca="false">AA545+AA549+AA552</f>
        <v>5.4833634845</v>
      </c>
    </row>
    <row r="540" customFormat="false" ht="15" hidden="false" customHeight="false" outlineLevel="0" collapsed="false">
      <c r="R540" s="214" t="s">
        <v>284</v>
      </c>
      <c r="S540" s="214" t="s">
        <v>285</v>
      </c>
      <c r="W540" s="215" t="s">
        <v>123</v>
      </c>
      <c r="X540" s="215" t="s">
        <v>286</v>
      </c>
      <c r="Y540" s="215" t="s">
        <v>287</v>
      </c>
      <c r="Z540" s="215" t="s">
        <v>288</v>
      </c>
      <c r="AA540" s="215" t="s">
        <v>289</v>
      </c>
    </row>
    <row r="541" customFormat="false" ht="15" hidden="false" customHeight="false" outlineLevel="0" collapsed="false">
      <c r="S541" s="125" t="s">
        <v>290</v>
      </c>
      <c r="X541" s="56"/>
    </row>
    <row r="542" customFormat="false" ht="15" hidden="false" customHeight="false" outlineLevel="0" collapsed="false">
      <c r="S542" s="1" t="s">
        <v>291</v>
      </c>
      <c r="W542" s="55" t="s">
        <v>292</v>
      </c>
      <c r="X542" s="56" t="n">
        <v>1</v>
      </c>
      <c r="Y542" s="99" t="n">
        <f aca="false">X542*8/$U$539</f>
        <v>0.032</v>
      </c>
      <c r="Z542" s="213" t="n">
        <v>29.99</v>
      </c>
      <c r="AA542" s="28" t="n">
        <f aca="false">Y542*Z542</f>
        <v>0.95968</v>
      </c>
    </row>
    <row r="543" customFormat="false" ht="15" hidden="false" customHeight="false" outlineLevel="0" collapsed="false">
      <c r="S543" s="1" t="s">
        <v>680</v>
      </c>
      <c r="W543" s="55" t="s">
        <v>292</v>
      </c>
      <c r="X543" s="56" t="n">
        <v>1</v>
      </c>
      <c r="Y543" s="99" t="n">
        <f aca="false">X543*8/$U$539</f>
        <v>0.032</v>
      </c>
      <c r="Z543" s="1" t="n">
        <v>21.36</v>
      </c>
      <c r="AA543" s="28" t="n">
        <f aca="false">Y543*Z543</f>
        <v>0.68352</v>
      </c>
    </row>
    <row r="544" customFormat="false" ht="15" hidden="false" customHeight="false" outlineLevel="0" collapsed="false">
      <c r="S544" s="1" t="s">
        <v>651</v>
      </c>
      <c r="W544" s="55" t="s">
        <v>292</v>
      </c>
      <c r="X544" s="56" t="n">
        <v>0.1</v>
      </c>
      <c r="Y544" s="99" t="n">
        <f aca="false">X544*8/$U$539</f>
        <v>0.0032</v>
      </c>
      <c r="Z544" s="213" t="n">
        <v>35.99</v>
      </c>
      <c r="AA544" s="28" t="n">
        <f aca="false">Y544*Z544</f>
        <v>0.115168</v>
      </c>
    </row>
    <row r="545" customFormat="false" ht="15" hidden="false" customHeight="false" outlineLevel="0" collapsed="false">
      <c r="W545" s="55"/>
      <c r="X545" s="56"/>
      <c r="AA545" s="124" t="n">
        <f aca="false">SUM(AA542:AA544)</f>
        <v>1.758368</v>
      </c>
    </row>
    <row r="546" customFormat="false" ht="15" hidden="false" customHeight="false" outlineLevel="0" collapsed="false">
      <c r="S546" s="125" t="s">
        <v>295</v>
      </c>
      <c r="W546" s="55"/>
      <c r="X546" s="56"/>
      <c r="Y546" s="99"/>
    </row>
    <row r="547" customFormat="false" ht="15" hidden="false" customHeight="false" outlineLevel="0" collapsed="false">
      <c r="S547" s="1" t="s">
        <v>296</v>
      </c>
      <c r="W547" s="55" t="s">
        <v>297</v>
      </c>
      <c r="X547" s="56"/>
      <c r="Y547" s="99" t="n">
        <v>0.03</v>
      </c>
      <c r="Z547" s="28" t="n">
        <v>2.64</v>
      </c>
      <c r="AA547" s="28" t="n">
        <f aca="false">Y547*Z547</f>
        <v>0.0792</v>
      </c>
    </row>
    <row r="548" customFormat="false" ht="15" hidden="false" customHeight="false" outlineLevel="0" collapsed="false">
      <c r="S548" s="1" t="s">
        <v>681</v>
      </c>
      <c r="W548" s="55" t="s">
        <v>297</v>
      </c>
      <c r="X548" s="56"/>
      <c r="Y548" s="99" t="n">
        <v>1.05</v>
      </c>
      <c r="Z548" s="28" t="n">
        <f aca="false">1012.71*3.379/1000</f>
        <v>3.42194709</v>
      </c>
      <c r="AA548" s="28" t="n">
        <f aca="false">Y548*Z548</f>
        <v>3.5930444445</v>
      </c>
    </row>
    <row r="549" customFormat="false" ht="15" hidden="false" customHeight="false" outlineLevel="0" collapsed="false">
      <c r="W549" s="55"/>
      <c r="X549" s="56"/>
      <c r="AA549" s="124" t="n">
        <f aca="false">SUM(AA547:AA548)</f>
        <v>3.6722444445</v>
      </c>
    </row>
    <row r="550" customFormat="false" ht="15" hidden="false" customHeight="false" outlineLevel="0" collapsed="false">
      <c r="S550" s="125" t="s">
        <v>318</v>
      </c>
      <c r="W550" s="55"/>
      <c r="X550" s="56"/>
    </row>
    <row r="551" customFormat="false" ht="15" hidden="false" customHeight="false" outlineLevel="0" collapsed="false">
      <c r="S551" s="1" t="s">
        <v>311</v>
      </c>
      <c r="W551" s="55" t="s">
        <v>312</v>
      </c>
      <c r="Y551" s="57" t="n">
        <v>3</v>
      </c>
      <c r="Z551" s="28" t="n">
        <f aca="false">AA545</f>
        <v>1.758368</v>
      </c>
      <c r="AA551" s="28" t="n">
        <f aca="false">Y551%*Z551</f>
        <v>0.05275104</v>
      </c>
    </row>
    <row r="552" customFormat="false" ht="15" hidden="false" customHeight="false" outlineLevel="0" collapsed="false">
      <c r="R552" s="60"/>
      <c r="S552" s="60"/>
      <c r="T552" s="60"/>
      <c r="U552" s="60"/>
      <c r="V552" s="60"/>
      <c r="W552" s="60"/>
      <c r="X552" s="60"/>
      <c r="Y552" s="60"/>
      <c r="Z552" s="60"/>
      <c r="AA552" s="126" t="n">
        <f aca="false">SUM(AA551:AA551)</f>
        <v>0.05275104</v>
      </c>
    </row>
    <row r="554" customFormat="false" ht="15" hidden="false" customHeight="false" outlineLevel="0" collapsed="false">
      <c r="R554" s="82" t="s">
        <v>278</v>
      </c>
      <c r="S554" s="82"/>
      <c r="T554" s="82" t="s">
        <v>712</v>
      </c>
      <c r="U554" s="82"/>
    </row>
    <row r="555" customFormat="false" ht="15" hidden="false" customHeight="false" outlineLevel="0" collapsed="false">
      <c r="R555" s="82" t="s">
        <v>279</v>
      </c>
      <c r="S555" s="82" t="s">
        <v>417</v>
      </c>
      <c r="T555" s="84" t="s">
        <v>281</v>
      </c>
      <c r="U555" s="85" t="n">
        <v>6</v>
      </c>
      <c r="V555" s="84" t="s">
        <v>282</v>
      </c>
      <c r="W555" s="85" t="n">
        <f aca="false">U555</f>
        <v>6</v>
      </c>
      <c r="X555" s="82" t="s">
        <v>283</v>
      </c>
      <c r="Z555" s="84" t="s">
        <v>204</v>
      </c>
      <c r="AA555" s="86" t="n">
        <f aca="false">AA561+AA570+AA576</f>
        <v>554.637093333333</v>
      </c>
    </row>
    <row r="556" customFormat="false" ht="15" hidden="false" customHeight="false" outlineLevel="0" collapsed="false">
      <c r="R556" s="82" t="s">
        <v>284</v>
      </c>
      <c r="S556" s="82" t="s">
        <v>285</v>
      </c>
      <c r="W556" s="84" t="s">
        <v>123</v>
      </c>
      <c r="X556" s="84" t="s">
        <v>286</v>
      </c>
      <c r="Y556" s="84" t="s">
        <v>287</v>
      </c>
      <c r="Z556" s="84" t="s">
        <v>288</v>
      </c>
      <c r="AA556" s="84" t="s">
        <v>289</v>
      </c>
    </row>
    <row r="557" customFormat="false" ht="15" hidden="false" customHeight="false" outlineLevel="0" collapsed="false">
      <c r="S557" s="87" t="s">
        <v>290</v>
      </c>
    </row>
    <row r="558" customFormat="false" ht="15" hidden="false" customHeight="false" outlineLevel="0" collapsed="false">
      <c r="S558" s="1" t="s">
        <v>291</v>
      </c>
      <c r="W558" s="55" t="s">
        <v>292</v>
      </c>
      <c r="X558" s="56" t="n">
        <v>1</v>
      </c>
      <c r="Y558" s="57" t="n">
        <f aca="false">X558*8/$U$555</f>
        <v>1.33333333333333</v>
      </c>
      <c r="Z558" s="28" t="n">
        <v>28.94</v>
      </c>
      <c r="AA558" s="28" t="n">
        <f aca="false">Y558*Z558</f>
        <v>38.5866666666667</v>
      </c>
    </row>
    <row r="559" customFormat="false" ht="15" hidden="false" customHeight="false" outlineLevel="0" collapsed="false">
      <c r="S559" s="1" t="s">
        <v>293</v>
      </c>
      <c r="W559" s="55" t="s">
        <v>292</v>
      </c>
      <c r="X559" s="56" t="n">
        <v>1</v>
      </c>
      <c r="Y559" s="57" t="n">
        <f aca="false">X559*8/$U$555</f>
        <v>1.33333333333333</v>
      </c>
      <c r="Z559" s="28" t="n">
        <v>23.6</v>
      </c>
      <c r="AA559" s="28" t="n">
        <f aca="false">Y559*Z559</f>
        <v>31.4666666666667</v>
      </c>
    </row>
    <row r="560" customFormat="false" ht="15" hidden="false" customHeight="false" outlineLevel="0" collapsed="false">
      <c r="S560" s="1" t="s">
        <v>294</v>
      </c>
      <c r="W560" s="55" t="s">
        <v>292</v>
      </c>
      <c r="X560" s="56" t="n">
        <v>5</v>
      </c>
      <c r="Y560" s="57" t="n">
        <f aca="false">X560*8/$U$555</f>
        <v>6.66666666666667</v>
      </c>
      <c r="Z560" s="28" t="n">
        <v>21.36</v>
      </c>
      <c r="AA560" s="28" t="n">
        <f aca="false">Y560*Z560</f>
        <v>142.4</v>
      </c>
    </row>
    <row r="561" customFormat="false" ht="15" hidden="false" customHeight="false" outlineLevel="0" collapsed="false">
      <c r="W561" s="55"/>
      <c r="X561" s="56"/>
      <c r="Y561" s="57"/>
      <c r="AA561" s="86" t="n">
        <f aca="false">SUM(AA558:AA560)</f>
        <v>212.453333333333</v>
      </c>
    </row>
    <row r="562" customFormat="false" ht="15" hidden="false" customHeight="false" outlineLevel="0" collapsed="false">
      <c r="S562" s="87" t="s">
        <v>654</v>
      </c>
      <c r="W562" s="55"/>
      <c r="X562" s="56"/>
      <c r="Y562" s="57"/>
      <c r="AA562" s="28"/>
    </row>
    <row r="563" customFormat="false" ht="15" hidden="false" customHeight="false" outlineLevel="0" collapsed="false">
      <c r="S563" s="1" t="s">
        <v>673</v>
      </c>
      <c r="W563" s="55" t="s">
        <v>204</v>
      </c>
      <c r="Y563" s="57" t="n">
        <v>0.8</v>
      </c>
      <c r="Z563" s="28" t="n">
        <v>55.08</v>
      </c>
      <c r="AA563" s="28" t="n">
        <f aca="false">Y563*Z563</f>
        <v>44.064</v>
      </c>
    </row>
    <row r="564" customFormat="false" ht="15" hidden="false" customHeight="false" outlineLevel="0" collapsed="false">
      <c r="S564" s="1" t="s">
        <v>674</v>
      </c>
      <c r="W564" s="55" t="s">
        <v>204</v>
      </c>
      <c r="Y564" s="57" t="n">
        <v>0.5</v>
      </c>
      <c r="Z564" s="28" t="n">
        <v>47</v>
      </c>
      <c r="AA564" s="28" t="n">
        <f aca="false">Y564*Z564</f>
        <v>23.5</v>
      </c>
    </row>
    <row r="565" customFormat="false" ht="15" hidden="false" customHeight="false" outlineLevel="0" collapsed="false">
      <c r="S565" s="1" t="s">
        <v>307</v>
      </c>
      <c r="W565" s="55" t="s">
        <v>308</v>
      </c>
      <c r="Y565" s="57" t="n">
        <v>9.74</v>
      </c>
      <c r="Z565" s="28" t="n">
        <v>24.52</v>
      </c>
      <c r="AA565" s="28" t="n">
        <f aca="false">Y565*Z565</f>
        <v>238.8248</v>
      </c>
    </row>
    <row r="566" customFormat="false" ht="15" hidden="false" customHeight="false" outlineLevel="0" collapsed="false">
      <c r="S566" s="1" t="s">
        <v>656</v>
      </c>
      <c r="W566" s="55" t="s">
        <v>204</v>
      </c>
      <c r="Y566" s="57" t="n">
        <v>0.184</v>
      </c>
      <c r="Z566" s="1" t="n">
        <v>6.14</v>
      </c>
      <c r="AA566" s="28" t="n">
        <f aca="false">Y566*Z566</f>
        <v>1.12976</v>
      </c>
    </row>
    <row r="567" customFormat="false" ht="15" hidden="false" customHeight="false" outlineLevel="0" collapsed="false">
      <c r="S567" s="1" t="s">
        <v>666</v>
      </c>
      <c r="W567" s="55" t="s">
        <v>440</v>
      </c>
      <c r="Y567" s="57" t="n">
        <v>0.12</v>
      </c>
      <c r="Z567" s="1" t="n">
        <v>13.93</v>
      </c>
      <c r="AA567" s="28" t="n">
        <f aca="false">Y567*Z567</f>
        <v>1.6716</v>
      </c>
    </row>
    <row r="568" customFormat="false" ht="15" hidden="false" customHeight="false" outlineLevel="0" collapsed="false">
      <c r="S568" s="1" t="s">
        <v>713</v>
      </c>
      <c r="W568" s="55" t="s">
        <v>440</v>
      </c>
      <c r="Y568" s="57" t="n">
        <v>0.01</v>
      </c>
      <c r="AA568" s="28" t="n">
        <f aca="false">Y568*Z568</f>
        <v>0</v>
      </c>
    </row>
    <row r="569" customFormat="false" ht="15" hidden="false" customHeight="false" outlineLevel="0" collapsed="false">
      <c r="S569" s="1" t="s">
        <v>714</v>
      </c>
      <c r="W569" s="55" t="s">
        <v>715</v>
      </c>
      <c r="Y569" s="1" t="n">
        <v>0.008</v>
      </c>
      <c r="AA569" s="28" t="n">
        <f aca="false">Y569*Z569</f>
        <v>0</v>
      </c>
    </row>
    <row r="570" customFormat="false" ht="15" hidden="false" customHeight="false" outlineLevel="0" collapsed="false">
      <c r="W570" s="55"/>
      <c r="Y570" s="57"/>
      <c r="Z570" s="28"/>
      <c r="AA570" s="86" t="n">
        <f aca="false">SUM(AA563:AA569)</f>
        <v>309.19016</v>
      </c>
    </row>
    <row r="571" customFormat="false" ht="15" hidden="false" customHeight="false" outlineLevel="0" collapsed="false">
      <c r="S571" s="87" t="s">
        <v>310</v>
      </c>
    </row>
    <row r="572" customFormat="false" ht="15" hidden="false" customHeight="false" outlineLevel="0" collapsed="false">
      <c r="S572" s="1" t="s">
        <v>311</v>
      </c>
      <c r="W572" s="55" t="s">
        <v>312</v>
      </c>
      <c r="Y572" s="57" t="n">
        <v>3</v>
      </c>
      <c r="Z572" s="28" t="n">
        <f aca="false">AA561</f>
        <v>212.453333333333</v>
      </c>
      <c r="AA572" s="28" t="n">
        <f aca="false">Y572%*Z572</f>
        <v>6.3736</v>
      </c>
    </row>
    <row r="573" customFormat="false" ht="15" hidden="false" customHeight="false" outlineLevel="0" collapsed="false">
      <c r="S573" s="1" t="s">
        <v>668</v>
      </c>
      <c r="W573" s="55" t="s">
        <v>338</v>
      </c>
      <c r="X573" s="56" t="n">
        <v>0.5</v>
      </c>
      <c r="Y573" s="57" t="n">
        <f aca="false">X573*8/$U$555</f>
        <v>0.666666666666667</v>
      </c>
      <c r="Z573" s="28" t="n">
        <v>25.63</v>
      </c>
      <c r="AA573" s="28" t="n">
        <f aca="false">Y573*Z573</f>
        <v>17.0866666666667</v>
      </c>
    </row>
    <row r="574" customFormat="false" ht="15" hidden="false" customHeight="false" outlineLevel="0" collapsed="false">
      <c r="S574" s="1" t="s">
        <v>676</v>
      </c>
      <c r="W574" s="55" t="s">
        <v>338</v>
      </c>
      <c r="X574" s="56" t="n">
        <v>0.5</v>
      </c>
      <c r="Y574" s="57" t="n">
        <f aca="false">X574*8/$U$555</f>
        <v>0.666666666666667</v>
      </c>
      <c r="Z574" s="28" t="n">
        <v>7.07</v>
      </c>
      <c r="AA574" s="28" t="n">
        <f aca="false">Y574*Z574</f>
        <v>4.71333333333333</v>
      </c>
    </row>
    <row r="575" customFormat="false" ht="15" hidden="false" customHeight="false" outlineLevel="0" collapsed="false">
      <c r="S575" s="1" t="s">
        <v>716</v>
      </c>
      <c r="W575" s="55" t="s">
        <v>338</v>
      </c>
      <c r="X575" s="56" t="n">
        <v>0.5</v>
      </c>
      <c r="Y575" s="57" t="n">
        <f aca="false">X575*8/$U$555</f>
        <v>0.666666666666667</v>
      </c>
      <c r="Z575" s="46" t="n">
        <v>7.23</v>
      </c>
      <c r="AA575" s="28" t="n">
        <f aca="false">Y575*Z575</f>
        <v>4.82</v>
      </c>
    </row>
    <row r="576" customFormat="false" ht="15" hidden="false" customHeight="false" outlineLevel="0" collapsed="false">
      <c r="R576" s="60"/>
      <c r="S576" s="60"/>
      <c r="T576" s="60"/>
      <c r="U576" s="60"/>
      <c r="V576" s="60"/>
      <c r="W576" s="60"/>
      <c r="X576" s="60"/>
      <c r="Y576" s="60"/>
      <c r="Z576" s="60"/>
      <c r="AA576" s="89" t="n">
        <f aca="false">SUM(AA572:AA575)</f>
        <v>32.9936</v>
      </c>
    </row>
    <row r="578" customFormat="false" ht="15" hidden="false" customHeight="false" outlineLevel="0" collapsed="false">
      <c r="R578" s="82" t="s">
        <v>278</v>
      </c>
      <c r="S578" s="82"/>
      <c r="T578" s="82" t="s">
        <v>717</v>
      </c>
      <c r="U578" s="82"/>
    </row>
    <row r="579" customFormat="false" ht="15" hidden="false" customHeight="false" outlineLevel="0" collapsed="false">
      <c r="R579" s="82" t="s">
        <v>279</v>
      </c>
      <c r="S579" s="82" t="s">
        <v>280</v>
      </c>
      <c r="T579" s="84" t="s">
        <v>281</v>
      </c>
      <c r="U579" s="85" t="n">
        <v>6.7</v>
      </c>
      <c r="V579" s="84" t="s">
        <v>282</v>
      </c>
      <c r="W579" s="85" t="n">
        <f aca="false">U579</f>
        <v>6.7</v>
      </c>
      <c r="X579" s="82" t="s">
        <v>283</v>
      </c>
      <c r="Z579" s="84" t="s">
        <v>134</v>
      </c>
      <c r="AA579" s="86" t="n">
        <f aca="false">AA585+AA590+AA593</f>
        <v>111.805364179104</v>
      </c>
    </row>
    <row r="580" customFormat="false" ht="15" hidden="false" customHeight="false" outlineLevel="0" collapsed="false">
      <c r="R580" s="82" t="s">
        <v>284</v>
      </c>
      <c r="S580" s="82" t="s">
        <v>285</v>
      </c>
      <c r="W580" s="84" t="s">
        <v>123</v>
      </c>
      <c r="X580" s="84" t="s">
        <v>286</v>
      </c>
      <c r="Y580" s="84" t="s">
        <v>287</v>
      </c>
      <c r="Z580" s="84" t="s">
        <v>288</v>
      </c>
      <c r="AA580" s="84" t="s">
        <v>289</v>
      </c>
    </row>
    <row r="581" customFormat="false" ht="15" hidden="false" customHeight="false" outlineLevel="0" collapsed="false">
      <c r="S581" s="87" t="s">
        <v>290</v>
      </c>
    </row>
    <row r="582" customFormat="false" ht="15" hidden="false" customHeight="false" outlineLevel="0" collapsed="false">
      <c r="S582" s="1" t="s">
        <v>291</v>
      </c>
      <c r="W582" s="55" t="s">
        <v>292</v>
      </c>
      <c r="X582" s="56" t="n">
        <v>1</v>
      </c>
      <c r="Y582" s="57" t="n">
        <f aca="false">X582*8/$U$579</f>
        <v>1.19402985074627</v>
      </c>
      <c r="Z582" s="28" t="n">
        <v>28.94</v>
      </c>
      <c r="AA582" s="28" t="n">
        <f aca="false">Y582*Z582</f>
        <v>34.555223880597</v>
      </c>
    </row>
    <row r="583" customFormat="false" ht="15" hidden="false" customHeight="false" outlineLevel="0" collapsed="false">
      <c r="S583" s="1" t="s">
        <v>293</v>
      </c>
      <c r="W583" s="55" t="s">
        <v>292</v>
      </c>
      <c r="X583" s="56" t="n">
        <v>1</v>
      </c>
      <c r="Y583" s="57" t="n">
        <f aca="false">X583*8/$U$579</f>
        <v>1.19402985074627</v>
      </c>
      <c r="Z583" s="28" t="n">
        <v>23.6</v>
      </c>
      <c r="AA583" s="28" t="n">
        <f aca="false">Y583*Z583</f>
        <v>28.1791044776119</v>
      </c>
    </row>
    <row r="584" customFormat="false" ht="15" hidden="false" customHeight="false" outlineLevel="0" collapsed="false">
      <c r="S584" s="1" t="s">
        <v>294</v>
      </c>
      <c r="W584" s="55" t="s">
        <v>292</v>
      </c>
      <c r="X584" s="56" t="n">
        <v>0.5</v>
      </c>
      <c r="Y584" s="57" t="n">
        <f aca="false">X584*8/$U$579</f>
        <v>0.597014925373134</v>
      </c>
      <c r="Z584" s="28" t="n">
        <v>21.36</v>
      </c>
      <c r="AA584" s="28" t="n">
        <f aca="false">Y584*Z584</f>
        <v>12.7522388059701</v>
      </c>
    </row>
    <row r="585" customFormat="false" ht="15" hidden="false" customHeight="false" outlineLevel="0" collapsed="false">
      <c r="W585" s="55"/>
      <c r="X585" s="56"/>
      <c r="Y585" s="57"/>
      <c r="AA585" s="86" t="n">
        <f aca="false">SUM(AA582:AA584)</f>
        <v>75.4865671641791</v>
      </c>
    </row>
    <row r="586" customFormat="false" ht="15" hidden="false" customHeight="false" outlineLevel="0" collapsed="false">
      <c r="S586" s="87" t="s">
        <v>654</v>
      </c>
      <c r="W586" s="55"/>
      <c r="X586" s="56"/>
      <c r="Y586" s="57"/>
      <c r="AA586" s="28"/>
    </row>
    <row r="587" customFormat="false" ht="15" hidden="false" customHeight="false" outlineLevel="0" collapsed="false">
      <c r="S587" s="1" t="s">
        <v>689</v>
      </c>
      <c r="W587" s="55" t="s">
        <v>297</v>
      </c>
      <c r="Y587" s="57" t="n">
        <v>0.08</v>
      </c>
      <c r="Z587" s="28" t="n">
        <v>2.64</v>
      </c>
      <c r="AA587" s="28" t="n">
        <f aca="false">Y587*Z587</f>
        <v>0.2112</v>
      </c>
    </row>
    <row r="588" customFormat="false" ht="15" hidden="false" customHeight="false" outlineLevel="0" collapsed="false">
      <c r="S588" s="1" t="s">
        <v>302</v>
      </c>
      <c r="W588" s="55" t="s">
        <v>297</v>
      </c>
      <c r="Y588" s="57" t="n">
        <v>0.1</v>
      </c>
      <c r="Z588" s="28" t="n">
        <v>5.51</v>
      </c>
      <c r="AA588" s="28" t="n">
        <f aca="false">Y588*Z588</f>
        <v>0.551</v>
      </c>
    </row>
    <row r="589" customFormat="false" ht="15" hidden="false" customHeight="false" outlineLevel="0" collapsed="false">
      <c r="S589" s="1" t="s">
        <v>670</v>
      </c>
      <c r="W589" s="55" t="s">
        <v>306</v>
      </c>
      <c r="Y589" s="57" t="n">
        <v>5.74</v>
      </c>
      <c r="Z589" s="28" t="n">
        <v>5.8</v>
      </c>
      <c r="AA589" s="28" t="n">
        <f aca="false">Y589*Z589</f>
        <v>33.292</v>
      </c>
    </row>
    <row r="590" customFormat="false" ht="15" hidden="false" customHeight="false" outlineLevel="0" collapsed="false">
      <c r="W590" s="55"/>
      <c r="Y590" s="57"/>
      <c r="Z590" s="28"/>
      <c r="AA590" s="86" t="n">
        <f aca="false">SUM(AA587:AA589)</f>
        <v>34.0542</v>
      </c>
    </row>
    <row r="591" customFormat="false" ht="15" hidden="false" customHeight="false" outlineLevel="0" collapsed="false">
      <c r="S591" s="87" t="s">
        <v>310</v>
      </c>
    </row>
    <row r="592" customFormat="false" ht="15" hidden="false" customHeight="false" outlineLevel="0" collapsed="false">
      <c r="S592" s="1" t="s">
        <v>311</v>
      </c>
      <c r="W592" s="55" t="s">
        <v>312</v>
      </c>
      <c r="Y592" s="57" t="n">
        <v>3</v>
      </c>
      <c r="Z592" s="28" t="n">
        <f aca="false">AA585</f>
        <v>75.4865671641791</v>
      </c>
      <c r="AA592" s="28" t="n">
        <f aca="false">Y592%*Z592</f>
        <v>2.26459701492537</v>
      </c>
    </row>
    <row r="593" customFormat="false" ht="15" hidden="false" customHeight="false" outlineLevel="0" collapsed="false">
      <c r="R593" s="60"/>
      <c r="S593" s="60"/>
      <c r="T593" s="60"/>
      <c r="U593" s="60"/>
      <c r="V593" s="60"/>
      <c r="W593" s="60"/>
      <c r="X593" s="60"/>
      <c r="Y593" s="60"/>
      <c r="Z593" s="60"/>
      <c r="AA593" s="89" t="n">
        <f aca="false">SUM(AA592)</f>
        <v>2.26459701492537</v>
      </c>
    </row>
    <row r="595" customFormat="false" ht="15" hidden="false" customHeight="false" outlineLevel="0" collapsed="false">
      <c r="R595" s="82" t="s">
        <v>278</v>
      </c>
      <c r="S595" s="82"/>
      <c r="T595" s="82" t="s">
        <v>718</v>
      </c>
      <c r="U595" s="82"/>
    </row>
    <row r="596" customFormat="false" ht="15" hidden="false" customHeight="false" outlineLevel="0" collapsed="false">
      <c r="R596" s="82" t="s">
        <v>279</v>
      </c>
      <c r="S596" s="82" t="s">
        <v>280</v>
      </c>
      <c r="T596" s="84" t="s">
        <v>281</v>
      </c>
      <c r="U596" s="85" t="n">
        <v>250</v>
      </c>
      <c r="V596" s="84" t="s">
        <v>282</v>
      </c>
      <c r="W596" s="85" t="n">
        <f aca="false">U596</f>
        <v>250</v>
      </c>
      <c r="X596" s="82" t="s">
        <v>283</v>
      </c>
      <c r="Z596" s="84" t="s">
        <v>134</v>
      </c>
      <c r="AA596" s="86" t="n">
        <f aca="false">AA601+AA606+AA610</f>
        <v>5.4995328445</v>
      </c>
    </row>
    <row r="597" customFormat="false" ht="15" hidden="false" customHeight="false" outlineLevel="0" collapsed="false">
      <c r="R597" s="82" t="s">
        <v>284</v>
      </c>
      <c r="S597" s="82" t="s">
        <v>285</v>
      </c>
      <c r="W597" s="84" t="s">
        <v>123</v>
      </c>
      <c r="X597" s="84" t="s">
        <v>286</v>
      </c>
      <c r="Y597" s="84" t="s">
        <v>287</v>
      </c>
      <c r="Z597" s="84" t="s">
        <v>288</v>
      </c>
      <c r="AA597" s="84" t="s">
        <v>289</v>
      </c>
    </row>
    <row r="598" customFormat="false" ht="15" hidden="false" customHeight="false" outlineLevel="0" collapsed="false">
      <c r="S598" s="87" t="s">
        <v>290</v>
      </c>
    </row>
    <row r="599" customFormat="false" ht="15" hidden="false" customHeight="false" outlineLevel="0" collapsed="false">
      <c r="S599" s="1" t="s">
        <v>291</v>
      </c>
      <c r="W599" s="55" t="s">
        <v>292</v>
      </c>
      <c r="X599" s="56" t="n">
        <v>1</v>
      </c>
      <c r="Y599" s="99" t="n">
        <f aca="false">X599*8/$U$596</f>
        <v>0.032</v>
      </c>
      <c r="Z599" s="28" t="n">
        <v>28.94</v>
      </c>
      <c r="AA599" s="28" t="n">
        <f aca="false">Y599*Z599</f>
        <v>0.92608</v>
      </c>
    </row>
    <row r="600" customFormat="false" ht="15" hidden="false" customHeight="false" outlineLevel="0" collapsed="false">
      <c r="S600" s="1" t="s">
        <v>680</v>
      </c>
      <c r="W600" s="55" t="s">
        <v>292</v>
      </c>
      <c r="X600" s="56" t="n">
        <v>1</v>
      </c>
      <c r="Y600" s="99" t="n">
        <f aca="false">X600*8/$U$596</f>
        <v>0.032</v>
      </c>
      <c r="Z600" s="28" t="n">
        <v>23.6</v>
      </c>
      <c r="AA600" s="28" t="n">
        <f aca="false">Y600*Z600</f>
        <v>0.7552</v>
      </c>
    </row>
    <row r="601" customFormat="false" ht="15" hidden="false" customHeight="false" outlineLevel="0" collapsed="false">
      <c r="W601" s="55"/>
      <c r="X601" s="56"/>
      <c r="AA601" s="124" t="n">
        <f aca="false">SUM(AA599:AA600)</f>
        <v>1.68128</v>
      </c>
    </row>
    <row r="602" customFormat="false" ht="15" hidden="false" customHeight="false" outlineLevel="0" collapsed="false">
      <c r="S602" s="125" t="s">
        <v>295</v>
      </c>
      <c r="W602" s="55"/>
      <c r="X602" s="56"/>
      <c r="Y602" s="99"/>
    </row>
    <row r="603" customFormat="false" ht="15" hidden="false" customHeight="false" outlineLevel="0" collapsed="false">
      <c r="S603" s="1" t="s">
        <v>296</v>
      </c>
      <c r="W603" s="55" t="s">
        <v>297</v>
      </c>
      <c r="X603" s="56"/>
      <c r="Y603" s="99" t="n">
        <v>0.05</v>
      </c>
      <c r="Z603" s="28" t="n">
        <v>2.64</v>
      </c>
      <c r="AA603" s="28" t="n">
        <f aca="false">Y603*Z603</f>
        <v>0.132</v>
      </c>
    </row>
    <row r="604" customFormat="false" ht="15" hidden="false" customHeight="false" outlineLevel="0" collapsed="false">
      <c r="S604" s="1" t="s">
        <v>681</v>
      </c>
      <c r="W604" s="55" t="s">
        <v>297</v>
      </c>
      <c r="X604" s="56"/>
      <c r="Y604" s="99" t="n">
        <v>1.05</v>
      </c>
      <c r="Z604" s="28" t="n">
        <f aca="false">1012.71*3.379/1000</f>
        <v>3.42194709</v>
      </c>
      <c r="AA604" s="28" t="n">
        <f aca="false">Y604*Z604</f>
        <v>3.5930444445</v>
      </c>
    </row>
    <row r="605" customFormat="false" ht="15" hidden="false" customHeight="false" outlineLevel="0" collapsed="false">
      <c r="S605" s="1" t="s">
        <v>719</v>
      </c>
      <c r="W605" s="55" t="s">
        <v>297</v>
      </c>
      <c r="X605" s="56"/>
      <c r="Y605" s="99" t="n">
        <v>0.001</v>
      </c>
      <c r="Z605" s="46" t="n">
        <v>13.81</v>
      </c>
      <c r="AA605" s="28" t="n">
        <f aca="false">Y605*Z605</f>
        <v>0.01381</v>
      </c>
    </row>
    <row r="606" customFormat="false" ht="15" hidden="false" customHeight="false" outlineLevel="0" collapsed="false">
      <c r="W606" s="55"/>
      <c r="X606" s="56"/>
      <c r="AA606" s="124" t="n">
        <f aca="false">SUM(AA603:AA605)</f>
        <v>3.7388544445</v>
      </c>
    </row>
    <row r="607" customFormat="false" ht="15" hidden="false" customHeight="false" outlineLevel="0" collapsed="false">
      <c r="S607" s="125" t="s">
        <v>318</v>
      </c>
      <c r="W607" s="55"/>
      <c r="X607" s="56"/>
    </row>
    <row r="608" customFormat="false" ht="15" hidden="false" customHeight="false" outlineLevel="0" collapsed="false">
      <c r="S608" s="1" t="s">
        <v>311</v>
      </c>
      <c r="W608" s="55" t="s">
        <v>312</v>
      </c>
      <c r="Y608" s="57" t="n">
        <v>3</v>
      </c>
      <c r="Z608" s="28" t="n">
        <f aca="false">AA601</f>
        <v>1.68128</v>
      </c>
      <c r="AA608" s="28" t="n">
        <f aca="false">Y608%*Z608</f>
        <v>0.0504384</v>
      </c>
    </row>
    <row r="609" customFormat="false" ht="15" hidden="false" customHeight="false" outlineLevel="0" collapsed="false">
      <c r="S609" s="1" t="s">
        <v>720</v>
      </c>
      <c r="T609" s="1" t="s">
        <v>721</v>
      </c>
      <c r="W609" s="55" t="s">
        <v>292</v>
      </c>
      <c r="X609" s="56" t="n">
        <v>0.5</v>
      </c>
      <c r="Y609" s="99" t="n">
        <f aca="false">X609*8/$U$596</f>
        <v>0.016</v>
      </c>
      <c r="Z609" s="46" t="n">
        <v>1.81</v>
      </c>
      <c r="AA609" s="28" t="n">
        <f aca="false">Y609*Z609</f>
        <v>0.02896</v>
      </c>
    </row>
    <row r="610" customFormat="false" ht="15" hidden="false" customHeight="false" outlineLevel="0" collapsed="false">
      <c r="R610" s="60"/>
      <c r="S610" s="60"/>
      <c r="T610" s="60"/>
      <c r="U610" s="60"/>
      <c r="V610" s="60"/>
      <c r="W610" s="60"/>
      <c r="X610" s="60"/>
      <c r="Y610" s="60"/>
      <c r="Z610" s="60"/>
      <c r="AA610" s="126" t="n">
        <f aca="false">SUM(AA608:AA609)</f>
        <v>0.0793984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2:AL355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H33" activeCellId="0" sqref="H33"/>
    </sheetView>
  </sheetViews>
  <sheetFormatPr defaultColWidth="8.59765625" defaultRowHeight="15" zeroHeight="false" outlineLevelRow="0" outlineLevelCol="0"/>
  <cols>
    <col collapsed="false" customWidth="true" hidden="false" outlineLevel="0" max="10" min="10" style="1" width="12.43"/>
    <col collapsed="false" customWidth="true" hidden="false" outlineLevel="0" max="11" min="11" style="1" width="12.57"/>
    <col collapsed="false" customWidth="true" hidden="false" outlineLevel="0" max="12" min="12" style="1" width="9.3"/>
    <col collapsed="false" customWidth="true" hidden="false" outlineLevel="0" max="20" min="20" style="1" width="9.3"/>
  </cols>
  <sheetData>
    <row r="2" customFormat="false" ht="15" hidden="false" customHeight="false" outlineLevel="0" collapsed="false">
      <c r="M2" s="157" t="s">
        <v>1378</v>
      </c>
      <c r="N2" s="157" t="n">
        <f aca="false">'Datos iniciales '!B5</f>
        <v>0</v>
      </c>
    </row>
    <row r="3" customFormat="false" ht="15" hidden="false" customHeight="false" outlineLevel="0" collapsed="false">
      <c r="E3" s="36" t="s">
        <v>1220</v>
      </c>
      <c r="F3" s="36" t="s">
        <v>1221</v>
      </c>
      <c r="G3" s="36" t="s">
        <v>123</v>
      </c>
      <c r="H3" s="36" t="s">
        <v>124</v>
      </c>
      <c r="I3" s="36" t="s">
        <v>125</v>
      </c>
      <c r="J3" s="36" t="s">
        <v>454</v>
      </c>
      <c r="K3" s="36" t="s">
        <v>455</v>
      </c>
      <c r="M3" s="157"/>
      <c r="N3" s="157"/>
    </row>
    <row r="4" customFormat="false" ht="15" hidden="false" customHeight="false" outlineLevel="0" collapsed="false">
      <c r="G4" s="158"/>
      <c r="H4" s="71"/>
      <c r="I4" s="28"/>
      <c r="K4" s="1" t="n">
        <f aca="false">SUM(J4:J37)</f>
        <v>0</v>
      </c>
      <c r="M4" s="157" t="s">
        <v>1369</v>
      </c>
      <c r="N4" s="157" t="e">
        <f aca="false">K4/N2</f>
        <v>#DIV/0!</v>
      </c>
    </row>
    <row r="5" customFormat="false" ht="15" hidden="false" customHeight="false" outlineLevel="0" collapsed="false">
      <c r="K5" s="28"/>
    </row>
    <row r="6" customFormat="false" ht="15" hidden="false" customHeight="false" outlineLevel="0" collapsed="false">
      <c r="A6" s="26"/>
      <c r="B6" s="14"/>
      <c r="G6" s="14"/>
      <c r="Q6" s="14" t="s">
        <v>278</v>
      </c>
      <c r="R6" s="14"/>
      <c r="S6" s="14" t="s">
        <v>1372</v>
      </c>
      <c r="T6" s="14"/>
    </row>
    <row r="7" customFormat="false" ht="15" hidden="false" customHeight="false" outlineLevel="0" collapsed="false">
      <c r="E7" s="218"/>
      <c r="F7" s="28"/>
      <c r="I7" s="28"/>
      <c r="J7" s="28"/>
      <c r="L7" s="73"/>
      <c r="Q7" s="14" t="s">
        <v>279</v>
      </c>
      <c r="R7" s="14" t="s">
        <v>280</v>
      </c>
      <c r="S7" s="36" t="s">
        <v>281</v>
      </c>
      <c r="T7" s="52" t="n">
        <v>500</v>
      </c>
      <c r="U7" s="36" t="s">
        <v>282</v>
      </c>
      <c r="V7" s="52" t="n">
        <f aca="false">T7</f>
        <v>500</v>
      </c>
      <c r="W7" s="14" t="s">
        <v>283</v>
      </c>
      <c r="Y7" s="36" t="s">
        <v>134</v>
      </c>
      <c r="Z7" s="53" t="n">
        <f aca="false">Z13+Z18+Z23</f>
        <v>2.89927064</v>
      </c>
    </row>
    <row r="8" customFormat="false" ht="15" hidden="false" customHeight="false" outlineLevel="0" collapsed="false">
      <c r="A8" s="26" t="s">
        <v>457</v>
      </c>
      <c r="B8" s="14"/>
      <c r="E8" s="218"/>
      <c r="F8" s="28"/>
      <c r="J8" s="28"/>
      <c r="L8" s="219"/>
      <c r="Q8" s="14" t="s">
        <v>284</v>
      </c>
      <c r="R8" s="14" t="s">
        <v>285</v>
      </c>
      <c r="V8" s="36" t="s">
        <v>123</v>
      </c>
      <c r="W8" s="36" t="s">
        <v>286</v>
      </c>
      <c r="X8" s="36" t="s">
        <v>287</v>
      </c>
      <c r="Y8" s="36" t="s">
        <v>288</v>
      </c>
      <c r="Z8" s="36" t="s">
        <v>289</v>
      </c>
    </row>
    <row r="9" customFormat="false" ht="15" hidden="false" customHeight="false" outlineLevel="0" collapsed="false">
      <c r="A9" s="69" t="s">
        <v>459</v>
      </c>
      <c r="E9" s="220" t="n">
        <v>1</v>
      </c>
      <c r="F9" s="28" t="n">
        <v>4.36975929978118</v>
      </c>
      <c r="G9" s="1" t="s">
        <v>204</v>
      </c>
      <c r="H9" s="1" t="n">
        <f aca="false">E9*F9*$N$2</f>
        <v>0</v>
      </c>
      <c r="I9" s="28" t="n">
        <f aca="false">Z26</f>
        <v>8.45820448</v>
      </c>
      <c r="J9" s="28" t="n">
        <f aca="false">H9*I9</f>
        <v>0</v>
      </c>
      <c r="L9" s="73"/>
      <c r="M9" s="218"/>
      <c r="R9" s="54" t="s">
        <v>290</v>
      </c>
    </row>
    <row r="10" customFormat="false" ht="15" hidden="false" customHeight="false" outlineLevel="0" collapsed="false">
      <c r="A10" s="69" t="s">
        <v>461</v>
      </c>
      <c r="E10" s="220" t="n">
        <v>1</v>
      </c>
      <c r="F10" s="28" t="n">
        <v>0.0588183807439825</v>
      </c>
      <c r="G10" s="1" t="s">
        <v>204</v>
      </c>
      <c r="H10" s="1" t="n">
        <f aca="false">E10*F10*$N$2</f>
        <v>0</v>
      </c>
      <c r="I10" s="28" t="n">
        <f aca="false">Z42</f>
        <v>49.40498</v>
      </c>
      <c r="J10" s="28" t="n">
        <f aca="false">H10*I10</f>
        <v>0</v>
      </c>
      <c r="L10" s="73"/>
      <c r="M10" s="218"/>
      <c r="R10" s="1" t="s">
        <v>1374</v>
      </c>
      <c r="V10" s="55" t="s">
        <v>292</v>
      </c>
      <c r="W10" s="56" t="n">
        <v>1</v>
      </c>
      <c r="X10" s="57" t="n">
        <f aca="false">W10*8/$V$7</f>
        <v>0.016</v>
      </c>
      <c r="Y10" s="1" t="n">
        <v>28.94</v>
      </c>
      <c r="Z10" s="28" t="n">
        <f aca="false">X10*Y10</f>
        <v>0.46304</v>
      </c>
    </row>
    <row r="11" customFormat="false" ht="15" hidden="false" customHeight="false" outlineLevel="0" collapsed="false">
      <c r="A11" s="69" t="s">
        <v>463</v>
      </c>
      <c r="E11" s="220" t="n">
        <v>1</v>
      </c>
      <c r="F11" s="28" t="n">
        <v>0.269540481400438</v>
      </c>
      <c r="G11" s="1" t="s">
        <v>204</v>
      </c>
      <c r="H11" s="1" t="n">
        <f aca="false">E11*F11*$N$2</f>
        <v>0</v>
      </c>
      <c r="I11" s="28" t="n">
        <f aca="false">Z53</f>
        <v>66.2342173333333</v>
      </c>
      <c r="J11" s="28" t="n">
        <f aca="false">H11*I11</f>
        <v>0</v>
      </c>
      <c r="L11" s="73"/>
      <c r="M11" s="218"/>
      <c r="R11" s="1" t="s">
        <v>294</v>
      </c>
      <c r="V11" s="55" t="s">
        <v>292</v>
      </c>
      <c r="W11" s="56" t="n">
        <v>3</v>
      </c>
      <c r="X11" s="57" t="n">
        <f aca="false">W11*8/$V$7</f>
        <v>0.048</v>
      </c>
      <c r="Y11" s="1" t="n">
        <v>20.51</v>
      </c>
      <c r="Z11" s="28" t="n">
        <f aca="false">X11*Y11</f>
        <v>0.98448</v>
      </c>
    </row>
    <row r="12" customFormat="false" ht="15" hidden="false" customHeight="false" outlineLevel="0" collapsed="false">
      <c r="A12" s="69" t="s">
        <v>465</v>
      </c>
      <c r="E12" s="220" t="n">
        <v>1</v>
      </c>
      <c r="F12" s="28" t="n">
        <v>2.57973012399708</v>
      </c>
      <c r="G12" s="1" t="s">
        <v>204</v>
      </c>
      <c r="H12" s="1" t="n">
        <f aca="false">E12*F12*$N$2</f>
        <v>0</v>
      </c>
      <c r="I12" s="28" t="n">
        <f aca="false">Z70</f>
        <v>19.29963</v>
      </c>
      <c r="J12" s="28" t="n">
        <f aca="false">H12*I12</f>
        <v>0</v>
      </c>
      <c r="K12" s="158"/>
      <c r="L12" s="73"/>
      <c r="M12" s="218"/>
      <c r="R12" s="1" t="s">
        <v>651</v>
      </c>
      <c r="V12" s="55" t="s">
        <v>292</v>
      </c>
      <c r="W12" s="56" t="n">
        <v>0.1</v>
      </c>
      <c r="X12" s="57" t="n">
        <f aca="false">W12*8/$V$7</f>
        <v>0.0016</v>
      </c>
      <c r="Y12" s="1" t="n">
        <v>34.73</v>
      </c>
      <c r="Z12" s="28" t="n">
        <f aca="false">X12*Y12</f>
        <v>0.055568</v>
      </c>
    </row>
    <row r="13" customFormat="false" ht="15" hidden="false" customHeight="false" outlineLevel="0" collapsed="false">
      <c r="A13" s="69" t="s">
        <v>1379</v>
      </c>
      <c r="E13" s="220" t="n">
        <v>1</v>
      </c>
      <c r="F13" s="28" t="n">
        <v>2.05368344274252</v>
      </c>
      <c r="G13" s="1" t="s">
        <v>134</v>
      </c>
      <c r="H13" s="1" t="n">
        <f aca="false">E13*F13*$N$2</f>
        <v>0</v>
      </c>
      <c r="I13" s="28" t="n">
        <f aca="false">Z87</f>
        <v>7.930344</v>
      </c>
      <c r="J13" s="28" t="n">
        <f aca="false">H13*I13</f>
        <v>0</v>
      </c>
      <c r="L13" s="73"/>
      <c r="M13" s="218"/>
      <c r="Z13" s="53" t="n">
        <f aca="false">SUM(Z10:Z12)</f>
        <v>1.503088</v>
      </c>
    </row>
    <row r="14" customFormat="false" ht="15" hidden="false" customHeight="false" outlineLevel="0" collapsed="false">
      <c r="A14" s="69" t="s">
        <v>469</v>
      </c>
      <c r="E14" s="220" t="n">
        <v>1</v>
      </c>
      <c r="F14" s="28" t="n">
        <v>2.3110594456601</v>
      </c>
      <c r="G14" s="1" t="s">
        <v>134</v>
      </c>
      <c r="H14" s="1" t="n">
        <f aca="false">E14*F14*$N$2</f>
        <v>0</v>
      </c>
      <c r="I14" s="28" t="n">
        <f aca="false">Z102</f>
        <v>12.11253</v>
      </c>
      <c r="J14" s="28" t="n">
        <f aca="false">H14*I14</f>
        <v>0</v>
      </c>
      <c r="K14" s="221"/>
      <c r="L14" s="73"/>
      <c r="M14" s="218"/>
      <c r="R14" s="54" t="s">
        <v>654</v>
      </c>
    </row>
    <row r="15" customFormat="false" ht="15" hidden="false" customHeight="false" outlineLevel="0" collapsed="false">
      <c r="A15" s="69" t="s">
        <v>471</v>
      </c>
      <c r="E15" s="220" t="n">
        <v>1</v>
      </c>
      <c r="F15" s="28" t="n">
        <v>2.3110594456601</v>
      </c>
      <c r="G15" s="1" t="s">
        <v>204</v>
      </c>
      <c r="H15" s="1" t="n">
        <f aca="false">E15*F15*$N$2</f>
        <v>0</v>
      </c>
      <c r="I15" s="28" t="n">
        <f aca="false">Z113</f>
        <v>22.9100074666667</v>
      </c>
      <c r="J15" s="28" t="n">
        <f aca="false">H15*I15</f>
        <v>0</v>
      </c>
      <c r="L15" s="73"/>
      <c r="M15" s="218"/>
      <c r="R15" s="1" t="s">
        <v>302</v>
      </c>
      <c r="V15" s="55" t="s">
        <v>297</v>
      </c>
      <c r="X15" s="57" t="n">
        <v>0.005</v>
      </c>
      <c r="Y15" s="1" t="n">
        <v>5.51</v>
      </c>
      <c r="Z15" s="28" t="n">
        <f aca="false">X15*Y15</f>
        <v>0.02755</v>
      </c>
    </row>
    <row r="16" customFormat="false" ht="15" hidden="false" customHeight="false" outlineLevel="0" collapsed="false">
      <c r="A16" s="26" t="s">
        <v>476</v>
      </c>
      <c r="E16" s="220"/>
      <c r="F16" s="28"/>
      <c r="L16" s="73"/>
      <c r="M16" s="218"/>
      <c r="R16" s="1" t="s">
        <v>1375</v>
      </c>
      <c r="S16" s="222"/>
      <c r="T16" s="222"/>
      <c r="U16" s="222"/>
      <c r="V16" s="55" t="s">
        <v>308</v>
      </c>
      <c r="W16" s="222"/>
      <c r="X16" s="57" t="n">
        <v>0.025</v>
      </c>
      <c r="Y16" s="28" t="n">
        <v>38.9</v>
      </c>
      <c r="Z16" s="28" t="n">
        <f aca="false">X16*Y16</f>
        <v>0.9725</v>
      </c>
    </row>
    <row r="17" customFormat="false" ht="15" hidden="false" customHeight="false" outlineLevel="0" collapsed="false">
      <c r="A17" s="1" t="s">
        <v>1380</v>
      </c>
      <c r="E17" s="220" t="n">
        <v>0.88</v>
      </c>
      <c r="F17" s="28" t="n">
        <v>1</v>
      </c>
      <c r="H17" s="1" t="n">
        <f aca="false">E17*F17*$N$2</f>
        <v>0</v>
      </c>
      <c r="I17" s="28" t="n">
        <f aca="false">Z126</f>
        <v>238.3435744</v>
      </c>
      <c r="J17" s="28" t="n">
        <f aca="false">H17*I17</f>
        <v>0</v>
      </c>
      <c r="L17" s="73"/>
      <c r="M17" s="218"/>
      <c r="R17" s="1" t="s">
        <v>309</v>
      </c>
      <c r="V17" s="55" t="s">
        <v>306</v>
      </c>
      <c r="X17" s="57" t="n">
        <v>0.02</v>
      </c>
      <c r="Y17" s="28" t="n">
        <v>5.8</v>
      </c>
      <c r="Z17" s="28" t="n">
        <f aca="false">X17*Y17</f>
        <v>0.116</v>
      </c>
    </row>
    <row r="18" customFormat="false" ht="15" hidden="false" customHeight="false" outlineLevel="0" collapsed="false">
      <c r="A18" s="15" t="s">
        <v>486</v>
      </c>
      <c r="E18" s="220"/>
      <c r="F18" s="28"/>
      <c r="L18" s="73"/>
      <c r="M18" s="218"/>
      <c r="Z18" s="53" t="n">
        <f aca="false">SUM(Z15:Z17)</f>
        <v>1.11605</v>
      </c>
    </row>
    <row r="19" customFormat="false" ht="16.4" hidden="false" customHeight="false" outlineLevel="0" collapsed="false">
      <c r="A19" s="69" t="s">
        <v>488</v>
      </c>
      <c r="B19" s="69"/>
      <c r="C19" s="69"/>
      <c r="D19" s="69"/>
      <c r="E19" s="220" t="n">
        <v>0.97</v>
      </c>
      <c r="F19" s="28" t="n">
        <v>0.884609773887673</v>
      </c>
      <c r="G19" s="1" t="s">
        <v>134</v>
      </c>
      <c r="H19" s="1" t="n">
        <f aca="false">E19*F19*$N$2</f>
        <v>0</v>
      </c>
      <c r="I19" s="223" t="n">
        <f aca="false">Z152</f>
        <v>39.6208818181818</v>
      </c>
      <c r="J19" s="224" t="n">
        <f aca="false">H19*I19</f>
        <v>0</v>
      </c>
      <c r="L19" s="225"/>
      <c r="M19" s="218"/>
      <c r="R19" s="54" t="s">
        <v>310</v>
      </c>
    </row>
    <row r="20" customFormat="false" ht="15" hidden="false" customHeight="false" outlineLevel="0" collapsed="false">
      <c r="A20" s="15" t="s">
        <v>490</v>
      </c>
      <c r="E20" s="220"/>
      <c r="F20" s="28"/>
      <c r="I20" s="158"/>
      <c r="J20" s="28"/>
      <c r="K20" s="158"/>
      <c r="L20" s="204"/>
      <c r="M20" s="218"/>
      <c r="R20" s="1" t="s">
        <v>311</v>
      </c>
      <c r="V20" s="55" t="s">
        <v>312</v>
      </c>
      <c r="X20" s="57" t="n">
        <v>3</v>
      </c>
      <c r="Y20" s="28" t="n">
        <f aca="false">Z13</f>
        <v>1.503088</v>
      </c>
      <c r="Z20" s="28" t="n">
        <f aca="false">X20%*Y20</f>
        <v>0.04509264</v>
      </c>
    </row>
    <row r="21" customFormat="false" ht="16.4" hidden="false" customHeight="false" outlineLevel="0" collapsed="false">
      <c r="A21" s="1" t="s">
        <v>492</v>
      </c>
      <c r="E21" s="220" t="n">
        <v>0.93</v>
      </c>
      <c r="F21" s="28" t="n">
        <v>0.0510576221735959</v>
      </c>
      <c r="G21" s="1" t="s">
        <v>134</v>
      </c>
      <c r="H21" s="1" t="n">
        <f aca="false">E21*F21*$N$2</f>
        <v>0</v>
      </c>
      <c r="I21" s="208" t="n">
        <f aca="false">Z171</f>
        <v>27.126394</v>
      </c>
      <c r="J21" s="28" t="n">
        <f aca="false">H21*I21</f>
        <v>0</v>
      </c>
      <c r="K21" s="221"/>
      <c r="L21" s="204"/>
      <c r="M21" s="218"/>
      <c r="R21" s="1" t="s">
        <v>1376</v>
      </c>
      <c r="V21" s="55" t="s">
        <v>338</v>
      </c>
      <c r="W21" s="56" t="n">
        <v>1</v>
      </c>
      <c r="X21" s="57" t="n">
        <f aca="false">W21*8/$V$7</f>
        <v>0.016</v>
      </c>
      <c r="Y21" s="28" t="n">
        <v>9.69</v>
      </c>
      <c r="Z21" s="28" t="n">
        <f aca="false">X21*Y21</f>
        <v>0.15504</v>
      </c>
    </row>
    <row r="22" customFormat="false" ht="15" hidden="false" customHeight="false" outlineLevel="0" collapsed="false">
      <c r="A22" s="15" t="s">
        <v>1373</v>
      </c>
      <c r="E22" s="220"/>
      <c r="F22" s="28"/>
      <c r="I22" s="158"/>
      <c r="J22" s="28"/>
      <c r="K22" s="221"/>
      <c r="L22" s="204"/>
      <c r="M22" s="218"/>
      <c r="R22" s="1" t="s">
        <v>1377</v>
      </c>
      <c r="V22" s="55" t="s">
        <v>145</v>
      </c>
      <c r="X22" s="1" t="n">
        <v>0.008</v>
      </c>
      <c r="Y22" s="57" t="n">
        <v>10</v>
      </c>
      <c r="Z22" s="28" t="n">
        <f aca="false">X22*Y22</f>
        <v>0.08</v>
      </c>
    </row>
    <row r="23" customFormat="false" ht="15" hidden="false" customHeight="false" outlineLevel="0" collapsed="false">
      <c r="A23" s="15" t="s">
        <v>495</v>
      </c>
      <c r="E23" s="220"/>
      <c r="F23" s="28"/>
      <c r="I23" s="158"/>
      <c r="J23" s="28"/>
      <c r="L23" s="204"/>
      <c r="M23" s="218"/>
      <c r="Q23" s="60"/>
      <c r="R23" s="60"/>
      <c r="S23" s="60"/>
      <c r="T23" s="60"/>
      <c r="U23" s="60"/>
      <c r="V23" s="60"/>
      <c r="W23" s="60"/>
      <c r="X23" s="60"/>
      <c r="Y23" s="80"/>
      <c r="Z23" s="61" t="n">
        <f aca="false">SUM(Z20:Z22)</f>
        <v>0.28013264</v>
      </c>
    </row>
    <row r="24" customFormat="false" ht="16.4" hidden="false" customHeight="false" outlineLevel="0" collapsed="false">
      <c r="A24" s="1" t="s">
        <v>497</v>
      </c>
      <c r="E24" s="220" t="n">
        <v>0.9</v>
      </c>
      <c r="F24" s="28" t="n">
        <v>0.632312180889861</v>
      </c>
      <c r="G24" s="1" t="s">
        <v>204</v>
      </c>
      <c r="H24" s="1" t="n">
        <f aca="false">E24*F24*$N$2</f>
        <v>0</v>
      </c>
      <c r="I24" s="208" t="n">
        <f aca="false">Z190</f>
        <v>426.397544</v>
      </c>
      <c r="J24" s="28" t="n">
        <f aca="false">H24*I24</f>
        <v>0</v>
      </c>
      <c r="L24" s="204"/>
      <c r="M24" s="218"/>
    </row>
    <row r="25" customFormat="false" ht="16.4" hidden="false" customHeight="false" outlineLevel="0" collapsed="false">
      <c r="A25" s="1" t="s">
        <v>499</v>
      </c>
      <c r="E25" s="220" t="n">
        <v>0.8</v>
      </c>
      <c r="F25" s="28"/>
      <c r="G25" s="158" t="s">
        <v>297</v>
      </c>
      <c r="H25" s="1" t="n">
        <f aca="false">H24*40*E25</f>
        <v>0</v>
      </c>
      <c r="I25" s="208" t="n">
        <f aca="false">Z229</f>
        <v>5.5639628445</v>
      </c>
      <c r="J25" s="28" t="n">
        <f aca="false">H25*I25</f>
        <v>0</v>
      </c>
      <c r="K25" s="1" t="e">
        <f aca="false">H25/H24</f>
        <v>#DIV/0!</v>
      </c>
      <c r="L25" s="204" t="n">
        <f aca="false">H24*40</f>
        <v>0</v>
      </c>
      <c r="M25" s="218"/>
      <c r="Q25" s="14" t="s">
        <v>278</v>
      </c>
      <c r="R25" s="14"/>
      <c r="S25" s="14" t="s">
        <v>459</v>
      </c>
      <c r="T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customFormat="false" ht="15" hidden="false" customHeight="false" outlineLevel="0" collapsed="false">
      <c r="A26" s="226" t="s">
        <v>509</v>
      </c>
      <c r="E26" s="220"/>
      <c r="F26" s="28"/>
      <c r="G26" s="158"/>
      <c r="I26" s="158"/>
      <c r="J26" s="28"/>
      <c r="L26" s="204"/>
      <c r="M26" s="218"/>
      <c r="Q26" s="14" t="s">
        <v>279</v>
      </c>
      <c r="R26" s="14" t="s">
        <v>417</v>
      </c>
      <c r="S26" s="36" t="s">
        <v>281</v>
      </c>
      <c r="T26" s="52" t="n">
        <v>250</v>
      </c>
      <c r="U26" s="36" t="s">
        <v>282</v>
      </c>
      <c r="V26" s="52" t="n">
        <f aca="false">T26</f>
        <v>250</v>
      </c>
      <c r="W26" s="14" t="s">
        <v>283</v>
      </c>
      <c r="Y26" s="36" t="s">
        <v>204</v>
      </c>
      <c r="Z26" s="53" t="n">
        <f aca="false">Z32+Z36</f>
        <v>8.45820448</v>
      </c>
      <c r="AC26" s="14"/>
      <c r="AD26" s="14"/>
      <c r="AE26" s="36"/>
      <c r="AF26" s="52"/>
      <c r="AG26" s="36"/>
      <c r="AH26" s="52"/>
      <c r="AI26" s="14"/>
      <c r="AK26" s="36"/>
      <c r="AL26" s="53"/>
    </row>
    <row r="27" customFormat="false" ht="16.4" hidden="false" customHeight="false" outlineLevel="0" collapsed="false">
      <c r="A27" s="1" t="s">
        <v>511</v>
      </c>
      <c r="E27" s="220" t="n">
        <v>0.92</v>
      </c>
      <c r="F27" s="28" t="n">
        <v>0.120204230488694</v>
      </c>
      <c r="G27" s="158" t="s">
        <v>204</v>
      </c>
      <c r="H27" s="1" t="n">
        <f aca="false">E27*F27*$N$2</f>
        <v>0</v>
      </c>
      <c r="I27" s="208" t="n">
        <f aca="false">Z245</f>
        <v>438.22652</v>
      </c>
      <c r="J27" s="28" t="n">
        <f aca="false">H27*I27</f>
        <v>0</v>
      </c>
      <c r="L27" s="204"/>
      <c r="M27" s="218"/>
      <c r="Q27" s="14" t="s">
        <v>284</v>
      </c>
      <c r="R27" s="14" t="s">
        <v>285</v>
      </c>
      <c r="V27" s="36" t="s">
        <v>123</v>
      </c>
      <c r="W27" s="36" t="s">
        <v>286</v>
      </c>
      <c r="X27" s="36" t="s">
        <v>287</v>
      </c>
      <c r="Y27" s="36" t="s">
        <v>288</v>
      </c>
      <c r="Z27" s="36" t="s">
        <v>289</v>
      </c>
      <c r="AC27" s="14"/>
      <c r="AD27" s="14"/>
      <c r="AH27" s="36"/>
      <c r="AI27" s="36"/>
      <c r="AJ27" s="36"/>
      <c r="AK27" s="36"/>
      <c r="AL27" s="36"/>
    </row>
    <row r="28" customFormat="false" ht="16.4" hidden="false" customHeight="false" outlineLevel="0" collapsed="false">
      <c r="A28" s="1" t="s">
        <v>513</v>
      </c>
      <c r="E28" s="220" t="n">
        <v>0.95</v>
      </c>
      <c r="F28" s="28" t="n">
        <v>0.6490882567469</v>
      </c>
      <c r="G28" s="158" t="s">
        <v>134</v>
      </c>
      <c r="H28" s="1" t="n">
        <f aca="false">E28*F28*$N$2</f>
        <v>0</v>
      </c>
      <c r="I28" s="208" t="n">
        <f aca="false">Z267</f>
        <v>64.02696</v>
      </c>
      <c r="J28" s="28" t="n">
        <f aca="false">H28*I28</f>
        <v>0</v>
      </c>
      <c r="L28" s="204"/>
      <c r="M28" s="218"/>
      <c r="R28" s="54" t="s">
        <v>290</v>
      </c>
      <c r="AD28" s="54"/>
    </row>
    <row r="29" customFormat="false" ht="16.4" hidden="false" customHeight="false" outlineLevel="0" collapsed="false">
      <c r="A29" s="1" t="s">
        <v>515</v>
      </c>
      <c r="E29" s="220" t="n">
        <v>0.77</v>
      </c>
      <c r="F29" s="28"/>
      <c r="G29" s="158" t="s">
        <v>297</v>
      </c>
      <c r="H29" s="1" t="n">
        <f aca="false">H27*50*E29</f>
        <v>0</v>
      </c>
      <c r="I29" s="208" t="n">
        <f aca="false">Z283</f>
        <v>5.5639628445</v>
      </c>
      <c r="J29" s="28" t="n">
        <f aca="false">H29*I29</f>
        <v>0</v>
      </c>
      <c r="K29" s="1" t="e">
        <f aca="false">H29/H27</f>
        <v>#DIV/0!</v>
      </c>
      <c r="L29" s="204"/>
      <c r="M29" s="218"/>
      <c r="R29" s="1" t="s">
        <v>651</v>
      </c>
      <c r="V29" s="55" t="s">
        <v>292</v>
      </c>
      <c r="W29" s="56" t="n">
        <v>0.1</v>
      </c>
      <c r="X29" s="57" t="n">
        <f aca="false">W29*8/$V$26</f>
        <v>0.0032</v>
      </c>
      <c r="Y29" s="1" t="n">
        <v>34.73</v>
      </c>
      <c r="Z29" s="28" t="n">
        <f aca="false">X29*Y29</f>
        <v>0.111136</v>
      </c>
      <c r="AH29" s="55"/>
      <c r="AI29" s="56"/>
      <c r="AJ29" s="57"/>
      <c r="AL29" s="28"/>
    </row>
    <row r="30" customFormat="false" ht="15" hidden="false" customHeight="false" outlineLevel="0" collapsed="false">
      <c r="A30" s="26" t="s">
        <v>517</v>
      </c>
      <c r="B30" s="14"/>
      <c r="E30" s="220"/>
      <c r="F30" s="28"/>
      <c r="I30" s="158"/>
      <c r="J30" s="28"/>
      <c r="L30" s="204"/>
      <c r="M30" s="218"/>
      <c r="R30" s="1" t="s">
        <v>291</v>
      </c>
      <c r="V30" s="55" t="s">
        <v>292</v>
      </c>
      <c r="W30" s="56" t="n">
        <v>2</v>
      </c>
      <c r="X30" s="57" t="n">
        <f aca="false">W30*8/$V$26</f>
        <v>0.064</v>
      </c>
      <c r="Y30" s="28" t="n">
        <v>28.94</v>
      </c>
      <c r="Z30" s="28" t="n">
        <f aca="false">X30*Y30</f>
        <v>1.85216</v>
      </c>
      <c r="AH30" s="55"/>
      <c r="AI30" s="56"/>
      <c r="AJ30" s="57"/>
      <c r="AL30" s="28"/>
    </row>
    <row r="31" customFormat="false" ht="15" hidden="false" customHeight="false" outlineLevel="0" collapsed="false">
      <c r="A31" s="1" t="s">
        <v>519</v>
      </c>
      <c r="E31" s="220" t="n">
        <v>0.86</v>
      </c>
      <c r="F31" s="28" t="n">
        <v>0.0833698030634573</v>
      </c>
      <c r="G31" s="1" t="s">
        <v>204</v>
      </c>
      <c r="H31" s="1" t="n">
        <f aca="false">E31*F31*$N$2</f>
        <v>0</v>
      </c>
      <c r="I31" s="28" t="n">
        <f aca="false">Z301</f>
        <v>424.9218</v>
      </c>
      <c r="J31" s="28" t="n">
        <f aca="false">H31*I31</f>
        <v>0</v>
      </c>
      <c r="L31" s="73"/>
      <c r="M31" s="218"/>
      <c r="R31" s="1" t="s">
        <v>294</v>
      </c>
      <c r="V31" s="55" t="s">
        <v>292</v>
      </c>
      <c r="W31" s="56" t="n">
        <v>1</v>
      </c>
      <c r="X31" s="57" t="n">
        <f aca="false">W31*8/$V$26</f>
        <v>0.032</v>
      </c>
      <c r="Y31" s="1" t="n">
        <v>20.51</v>
      </c>
      <c r="Z31" s="28" t="n">
        <f aca="false">X31*Y31</f>
        <v>0.65632</v>
      </c>
      <c r="AL31" s="53"/>
    </row>
    <row r="32" customFormat="false" ht="15" hidden="false" customHeight="false" outlineLevel="0" collapsed="false">
      <c r="A32" s="1" t="s">
        <v>521</v>
      </c>
      <c r="E32" s="220" t="n">
        <v>0.89</v>
      </c>
      <c r="F32" s="28" t="n">
        <v>0.416849015317287</v>
      </c>
      <c r="G32" s="1" t="s">
        <v>134</v>
      </c>
      <c r="H32" s="1" t="n">
        <f aca="false">E32*F32*$N$2</f>
        <v>0</v>
      </c>
      <c r="I32" s="28" t="n">
        <f aca="false">Z322</f>
        <v>42.64448</v>
      </c>
      <c r="J32" s="28" t="n">
        <f aca="false">H32*I32</f>
        <v>0</v>
      </c>
      <c r="L32" s="73"/>
      <c r="M32" s="218"/>
      <c r="Z32" s="53" t="n">
        <f aca="false">SUM(Z29:Z31)</f>
        <v>2.619616</v>
      </c>
      <c r="AD32" s="54"/>
    </row>
    <row r="33" customFormat="false" ht="15" hidden="false" customHeight="false" outlineLevel="0" collapsed="false">
      <c r="A33" s="1" t="s">
        <v>523</v>
      </c>
      <c r="E33" s="220" t="n">
        <v>0.67</v>
      </c>
      <c r="F33" s="28"/>
      <c r="G33" s="1" t="s">
        <v>297</v>
      </c>
      <c r="H33" s="1" t="n">
        <f aca="false">H31*120*E33</f>
        <v>0</v>
      </c>
      <c r="I33" s="28" t="n">
        <f aca="false">Z338</f>
        <v>5.5639628445</v>
      </c>
      <c r="J33" s="28" t="n">
        <f aca="false">H33*I33</f>
        <v>0</v>
      </c>
      <c r="K33" s="1" t="e">
        <f aca="false">H33/H31</f>
        <v>#DIV/0!</v>
      </c>
      <c r="L33" s="73"/>
      <c r="M33" s="218"/>
      <c r="R33" s="54" t="s">
        <v>310</v>
      </c>
      <c r="AH33" s="55"/>
      <c r="AJ33" s="57"/>
      <c r="AK33" s="28"/>
      <c r="AL33" s="28"/>
    </row>
    <row r="34" customFormat="false" ht="15" hidden="false" customHeight="false" outlineLevel="0" collapsed="false">
      <c r="M34" s="218"/>
      <c r="R34" s="1" t="s">
        <v>311</v>
      </c>
      <c r="V34" s="55" t="s">
        <v>312</v>
      </c>
      <c r="X34" s="57" t="n">
        <v>3</v>
      </c>
      <c r="Y34" s="28" t="n">
        <f aca="false">Z32</f>
        <v>2.619616</v>
      </c>
      <c r="Z34" s="28" t="n">
        <f aca="false">X34%*Y34</f>
        <v>0.07858848</v>
      </c>
    </row>
    <row r="35" customFormat="false" ht="15" hidden="false" customHeight="false" outlineLevel="0" collapsed="false">
      <c r="L35" s="73"/>
      <c r="R35" s="1" t="s">
        <v>652</v>
      </c>
      <c r="V35" s="55" t="s">
        <v>338</v>
      </c>
      <c r="W35" s="56" t="n">
        <v>1</v>
      </c>
      <c r="X35" s="57" t="n">
        <f aca="false">W35*8/$V$26</f>
        <v>0.032</v>
      </c>
      <c r="Y35" s="1" t="n">
        <v>180</v>
      </c>
      <c r="Z35" s="28" t="n">
        <f aca="false">X35*Y35</f>
        <v>5.76</v>
      </c>
    </row>
    <row r="36" customFormat="false" ht="15" hidden="false" customHeight="false" outlineLevel="0" collapsed="false">
      <c r="Q36" s="60"/>
      <c r="R36" s="60"/>
      <c r="S36" s="60"/>
      <c r="T36" s="60"/>
      <c r="U36" s="60"/>
      <c r="V36" s="60"/>
      <c r="W36" s="60"/>
      <c r="X36" s="60"/>
      <c r="Y36" s="60"/>
      <c r="Z36" s="61" t="n">
        <f aca="false">SUM(Z34:Z35)</f>
        <v>5.83858848</v>
      </c>
    </row>
    <row r="37" customFormat="false" ht="15" hidden="false" customHeight="false" outlineLevel="0" collapsed="false">
      <c r="A37" s="69"/>
      <c r="G37" s="227"/>
      <c r="H37" s="227"/>
      <c r="I37" s="208"/>
      <c r="R37" s="54"/>
      <c r="V37" s="55"/>
      <c r="W37" s="56"/>
      <c r="X37" s="57"/>
    </row>
    <row r="38" customFormat="false" ht="15" hidden="false" customHeight="false" outlineLevel="0" collapsed="false">
      <c r="Y38" s="28"/>
      <c r="Z38" s="28"/>
    </row>
    <row r="39" customFormat="false" ht="15" hidden="false" customHeight="false" outlineLevel="0" collapsed="false">
      <c r="G39" s="158"/>
      <c r="H39" s="158"/>
      <c r="I39" s="208"/>
      <c r="Y39" s="14"/>
      <c r="Z39" s="53"/>
    </row>
    <row r="40" customFormat="false" ht="15" hidden="false" customHeight="false" outlineLevel="0" collapsed="false">
      <c r="G40" s="158"/>
      <c r="H40" s="158"/>
      <c r="I40" s="208"/>
    </row>
    <row r="41" customFormat="false" ht="15" hidden="false" customHeight="false" outlineLevel="0" collapsed="false">
      <c r="Q41" s="14" t="s">
        <v>278</v>
      </c>
      <c r="R41" s="14"/>
      <c r="S41" s="14" t="s">
        <v>461</v>
      </c>
      <c r="T41" s="14"/>
    </row>
    <row r="42" customFormat="false" ht="15" hidden="false" customHeight="false" outlineLevel="0" collapsed="false">
      <c r="Q42" s="14" t="s">
        <v>279</v>
      </c>
      <c r="R42" s="14" t="s">
        <v>417</v>
      </c>
      <c r="S42" s="36" t="s">
        <v>281</v>
      </c>
      <c r="T42" s="52" t="n">
        <v>4</v>
      </c>
      <c r="U42" s="36" t="s">
        <v>282</v>
      </c>
      <c r="V42" s="52" t="n">
        <f aca="false">T42</f>
        <v>4</v>
      </c>
      <c r="W42" s="14" t="s">
        <v>283</v>
      </c>
      <c r="Y42" s="36" t="s">
        <v>204</v>
      </c>
      <c r="Z42" s="53" t="n">
        <f aca="false">Z47+Z50</f>
        <v>49.40498</v>
      </c>
    </row>
    <row r="43" customFormat="false" ht="15" hidden="false" customHeight="false" outlineLevel="0" collapsed="false">
      <c r="Q43" s="14" t="s">
        <v>284</v>
      </c>
      <c r="R43" s="14" t="s">
        <v>285</v>
      </c>
      <c r="V43" s="36" t="s">
        <v>123</v>
      </c>
      <c r="W43" s="36" t="s">
        <v>286</v>
      </c>
      <c r="X43" s="36" t="s">
        <v>287</v>
      </c>
      <c r="Y43" s="36" t="s">
        <v>288</v>
      </c>
      <c r="Z43" s="36" t="s">
        <v>289</v>
      </c>
    </row>
    <row r="44" customFormat="false" ht="15" hidden="false" customHeight="false" outlineLevel="0" collapsed="false">
      <c r="R44" s="54" t="s">
        <v>290</v>
      </c>
    </row>
    <row r="45" customFormat="false" ht="15" hidden="false" customHeight="false" outlineLevel="0" collapsed="false">
      <c r="R45" s="1" t="s">
        <v>651</v>
      </c>
      <c r="V45" s="55" t="s">
        <v>292</v>
      </c>
      <c r="W45" s="56" t="n">
        <v>0.1</v>
      </c>
      <c r="X45" s="57" t="n">
        <f aca="false">W45*8/$V$42</f>
        <v>0.2</v>
      </c>
      <c r="Y45" s="1" t="n">
        <v>34.73</v>
      </c>
      <c r="Z45" s="28" t="n">
        <f aca="false">X45*Y45</f>
        <v>6.946</v>
      </c>
    </row>
    <row r="46" customFormat="false" ht="15" hidden="false" customHeight="false" outlineLevel="0" collapsed="false">
      <c r="R46" s="1" t="s">
        <v>294</v>
      </c>
      <c r="V46" s="55" t="s">
        <v>292</v>
      </c>
      <c r="W46" s="56" t="n">
        <v>1</v>
      </c>
      <c r="X46" s="57" t="n">
        <f aca="false">W46*8/$V$42</f>
        <v>2</v>
      </c>
      <c r="Y46" s="1" t="n">
        <v>20.51</v>
      </c>
      <c r="Z46" s="28" t="n">
        <f aca="false">X46*Y46</f>
        <v>41.02</v>
      </c>
    </row>
    <row r="47" customFormat="false" ht="15" hidden="false" customHeight="false" outlineLevel="0" collapsed="false">
      <c r="V47" s="55"/>
      <c r="W47" s="56"/>
      <c r="X47" s="57"/>
      <c r="Z47" s="53" t="n">
        <f aca="false">SUM(Z45:Z46)</f>
        <v>47.966</v>
      </c>
    </row>
    <row r="48" customFormat="false" ht="15" hidden="false" customHeight="false" outlineLevel="0" collapsed="false">
      <c r="R48" s="54" t="s">
        <v>310</v>
      </c>
    </row>
    <row r="49" customFormat="false" ht="15" hidden="false" customHeight="false" outlineLevel="0" collapsed="false">
      <c r="R49" s="1" t="s">
        <v>311</v>
      </c>
      <c r="V49" s="55" t="s">
        <v>312</v>
      </c>
      <c r="X49" s="57" t="n">
        <v>3</v>
      </c>
      <c r="Y49" s="28" t="n">
        <f aca="false">Z47</f>
        <v>47.966</v>
      </c>
      <c r="Z49" s="28" t="n">
        <f aca="false">X49%*Y49</f>
        <v>1.43898</v>
      </c>
    </row>
    <row r="50" customFormat="false" ht="15" hidden="false" customHeight="false" outlineLevel="0" collapsed="false">
      <c r="Q50" s="60"/>
      <c r="R50" s="60"/>
      <c r="S50" s="60"/>
      <c r="T50" s="60"/>
      <c r="U50" s="60"/>
      <c r="V50" s="60"/>
      <c r="W50" s="60"/>
      <c r="X50" s="60"/>
      <c r="Y50" s="80"/>
      <c r="Z50" s="61" t="n">
        <f aca="false">SUM(Z49)</f>
        <v>1.43898</v>
      </c>
    </row>
    <row r="52" customFormat="false" ht="15" hidden="false" customHeight="false" outlineLevel="0" collapsed="false">
      <c r="Q52" s="14" t="s">
        <v>278</v>
      </c>
      <c r="R52" s="14"/>
      <c r="S52" s="14" t="s">
        <v>463</v>
      </c>
      <c r="T52" s="14"/>
    </row>
    <row r="53" customFormat="false" ht="15" hidden="false" customHeight="false" outlineLevel="0" collapsed="false">
      <c r="Q53" s="14" t="s">
        <v>279</v>
      </c>
      <c r="R53" s="14" t="s">
        <v>417</v>
      </c>
      <c r="S53" s="36" t="s">
        <v>281</v>
      </c>
      <c r="T53" s="52" t="n">
        <v>30</v>
      </c>
      <c r="U53" s="36" t="s">
        <v>282</v>
      </c>
      <c r="V53" s="52" t="n">
        <f aca="false">T53</f>
        <v>30</v>
      </c>
      <c r="W53" s="14" t="s">
        <v>283</v>
      </c>
      <c r="Y53" s="36" t="s">
        <v>204</v>
      </c>
      <c r="Z53" s="53" t="n">
        <f aca="false">Z59+Z63+Z67</f>
        <v>66.2342173333333</v>
      </c>
    </row>
    <row r="54" customFormat="false" ht="15" hidden="false" customHeight="false" outlineLevel="0" collapsed="false">
      <c r="Q54" s="14" t="s">
        <v>284</v>
      </c>
      <c r="R54" s="14" t="s">
        <v>285</v>
      </c>
      <c r="V54" s="36" t="s">
        <v>123</v>
      </c>
      <c r="W54" s="36" t="s">
        <v>286</v>
      </c>
      <c r="X54" s="36" t="s">
        <v>287</v>
      </c>
      <c r="Y54" s="36" t="s">
        <v>288</v>
      </c>
      <c r="Z54" s="36" t="s">
        <v>289</v>
      </c>
    </row>
    <row r="55" customFormat="false" ht="15" hidden="false" customHeight="false" outlineLevel="0" collapsed="false">
      <c r="R55" s="54" t="s">
        <v>290</v>
      </c>
    </row>
    <row r="56" customFormat="false" ht="15" hidden="false" customHeight="false" outlineLevel="0" collapsed="false">
      <c r="R56" s="1" t="s">
        <v>651</v>
      </c>
      <c r="V56" s="55" t="s">
        <v>292</v>
      </c>
      <c r="W56" s="56" t="n">
        <v>0.1</v>
      </c>
      <c r="X56" s="57" t="n">
        <f aca="false">W56*8/$V$53</f>
        <v>0.0266666666666667</v>
      </c>
      <c r="Y56" s="1" t="n">
        <v>34.73</v>
      </c>
      <c r="Z56" s="28" t="n">
        <f aca="false">X56*Y56</f>
        <v>0.926133333333333</v>
      </c>
    </row>
    <row r="57" customFormat="false" ht="15" hidden="false" customHeight="false" outlineLevel="0" collapsed="false">
      <c r="R57" s="1" t="s">
        <v>294</v>
      </c>
      <c r="V57" s="55" t="s">
        <v>292</v>
      </c>
      <c r="W57" s="56" t="n">
        <v>1</v>
      </c>
      <c r="X57" s="57" t="n">
        <f aca="false">W57*8/$V$53</f>
        <v>0.266666666666667</v>
      </c>
      <c r="Y57" s="1" t="n">
        <v>20.51</v>
      </c>
      <c r="Z57" s="28" t="n">
        <f aca="false">X57*Y57</f>
        <v>5.46933333333333</v>
      </c>
    </row>
    <row r="58" customFormat="false" ht="15" hidden="false" customHeight="false" outlineLevel="0" collapsed="false">
      <c r="R58" s="1" t="s">
        <v>653</v>
      </c>
      <c r="V58" s="55" t="s">
        <v>292</v>
      </c>
      <c r="W58" s="56" t="n">
        <v>1</v>
      </c>
      <c r="X58" s="57" t="n">
        <f aca="false">W58*8/$V$53</f>
        <v>0.266666666666667</v>
      </c>
      <c r="Y58" s="1" t="n">
        <v>29.94</v>
      </c>
      <c r="Z58" s="28" t="n">
        <f aca="false">X58*Y58</f>
        <v>7.984</v>
      </c>
    </row>
    <row r="59" customFormat="false" ht="15" hidden="false" customHeight="false" outlineLevel="0" collapsed="false">
      <c r="V59" s="55"/>
      <c r="W59" s="56"/>
      <c r="X59" s="57"/>
      <c r="Z59" s="53" t="n">
        <f aca="false">SUM(Z56:Z58)</f>
        <v>14.3794666666667</v>
      </c>
    </row>
    <row r="60" customFormat="false" ht="15" hidden="false" customHeight="false" outlineLevel="0" collapsed="false">
      <c r="R60" s="54" t="s">
        <v>654</v>
      </c>
      <c r="V60" s="55"/>
      <c r="W60" s="56"/>
      <c r="X60" s="57"/>
      <c r="Z60" s="28"/>
    </row>
    <row r="61" customFormat="false" ht="15" hidden="false" customHeight="false" outlineLevel="0" collapsed="false">
      <c r="R61" s="1" t="s">
        <v>655</v>
      </c>
      <c r="V61" s="55" t="s">
        <v>204</v>
      </c>
      <c r="W61" s="56"/>
      <c r="X61" s="57" t="n">
        <v>1.05</v>
      </c>
      <c r="Y61" s="46" t="n">
        <v>44.07</v>
      </c>
      <c r="Z61" s="28" t="n">
        <f aca="false">X61*Y61</f>
        <v>46.2735</v>
      </c>
    </row>
    <row r="62" customFormat="false" ht="15" hidden="false" customHeight="false" outlineLevel="0" collapsed="false">
      <c r="R62" s="1" t="s">
        <v>656</v>
      </c>
      <c r="V62" s="55" t="s">
        <v>204</v>
      </c>
      <c r="W62" s="56"/>
      <c r="X62" s="57" t="n">
        <v>0.08</v>
      </c>
      <c r="Y62" s="1" t="n">
        <v>6.14</v>
      </c>
      <c r="Z62" s="28" t="n">
        <f aca="false">X62*Y62</f>
        <v>0.4912</v>
      </c>
    </row>
    <row r="63" customFormat="false" ht="15" hidden="false" customHeight="false" outlineLevel="0" collapsed="false">
      <c r="V63" s="55"/>
      <c r="X63" s="57"/>
      <c r="Z63" s="53" t="n">
        <f aca="false">SUM(Z61:Z62)</f>
        <v>46.7647</v>
      </c>
    </row>
    <row r="64" customFormat="false" ht="15" hidden="false" customHeight="false" outlineLevel="0" collapsed="false">
      <c r="R64" s="54" t="s">
        <v>310</v>
      </c>
    </row>
    <row r="65" customFormat="false" ht="15" hidden="false" customHeight="false" outlineLevel="0" collapsed="false">
      <c r="R65" s="1" t="s">
        <v>311</v>
      </c>
      <c r="V65" s="55" t="s">
        <v>312</v>
      </c>
      <c r="X65" s="57" t="n">
        <v>3</v>
      </c>
      <c r="Y65" s="28" t="n">
        <f aca="false">Z59</f>
        <v>14.3794666666667</v>
      </c>
      <c r="Z65" s="28" t="n">
        <f aca="false">X65%*Y65</f>
        <v>0.431384</v>
      </c>
    </row>
    <row r="66" customFormat="false" ht="15" hidden="false" customHeight="false" outlineLevel="0" collapsed="false">
      <c r="R66" s="1" t="s">
        <v>657</v>
      </c>
      <c r="V66" s="55" t="s">
        <v>338</v>
      </c>
      <c r="W66" s="56" t="n">
        <v>1</v>
      </c>
      <c r="X66" s="57" t="n">
        <f aca="false">W66*8/$V$53</f>
        <v>0.266666666666667</v>
      </c>
      <c r="Y66" s="1" t="n">
        <v>17.47</v>
      </c>
      <c r="Z66" s="28" t="n">
        <f aca="false">X66*Y66</f>
        <v>4.65866666666667</v>
      </c>
    </row>
    <row r="67" customFormat="false" ht="15" hidden="false" customHeight="false" outlineLevel="0" collapsed="false">
      <c r="Q67" s="60"/>
      <c r="R67" s="60"/>
      <c r="S67" s="60"/>
      <c r="T67" s="60"/>
      <c r="U67" s="60"/>
      <c r="V67" s="60"/>
      <c r="W67" s="60"/>
      <c r="X67" s="60"/>
      <c r="Y67" s="80"/>
      <c r="Z67" s="61" t="n">
        <f aca="false">SUM(Z65:Z66)</f>
        <v>5.09005066666667</v>
      </c>
    </row>
    <row r="69" customFormat="false" ht="15" hidden="false" customHeight="false" outlineLevel="0" collapsed="false">
      <c r="Q69" s="14" t="s">
        <v>278</v>
      </c>
      <c r="R69" s="14"/>
      <c r="S69" s="14" t="s">
        <v>465</v>
      </c>
      <c r="T69" s="14"/>
    </row>
    <row r="70" customFormat="false" ht="15" hidden="false" customHeight="false" outlineLevel="0" collapsed="false">
      <c r="Q70" s="14" t="s">
        <v>279</v>
      </c>
      <c r="R70" s="14" t="s">
        <v>417</v>
      </c>
      <c r="S70" s="36" t="s">
        <v>281</v>
      </c>
      <c r="T70" s="52" t="n">
        <v>40</v>
      </c>
      <c r="U70" s="36" t="s">
        <v>282</v>
      </c>
      <c r="V70" s="52" t="n">
        <f aca="false">T70</f>
        <v>40</v>
      </c>
      <c r="W70" s="14" t="s">
        <v>283</v>
      </c>
      <c r="Y70" s="36" t="s">
        <v>204</v>
      </c>
      <c r="Z70" s="53" t="n">
        <f aca="false">Z76+Z84</f>
        <v>19.29963</v>
      </c>
    </row>
    <row r="71" customFormat="false" ht="15" hidden="false" customHeight="false" outlineLevel="0" collapsed="false">
      <c r="Q71" s="14" t="s">
        <v>284</v>
      </c>
      <c r="R71" s="14" t="s">
        <v>285</v>
      </c>
      <c r="V71" s="36" t="s">
        <v>123</v>
      </c>
      <c r="W71" s="36" t="s">
        <v>286</v>
      </c>
      <c r="X71" s="36" t="s">
        <v>287</v>
      </c>
      <c r="Y71" s="36" t="s">
        <v>288</v>
      </c>
      <c r="Z71" s="36" t="s">
        <v>289</v>
      </c>
    </row>
    <row r="72" customFormat="false" ht="15" hidden="false" customHeight="false" outlineLevel="0" collapsed="false">
      <c r="R72" s="54" t="s">
        <v>290</v>
      </c>
    </row>
    <row r="73" customFormat="false" ht="15" hidden="false" customHeight="false" outlineLevel="0" collapsed="false">
      <c r="R73" s="1" t="s">
        <v>651</v>
      </c>
      <c r="V73" s="55" t="s">
        <v>292</v>
      </c>
      <c r="W73" s="56" t="n">
        <v>0.1</v>
      </c>
      <c r="X73" s="57" t="n">
        <f aca="false">W73*8/$V$70</f>
        <v>0.02</v>
      </c>
      <c r="Y73" s="1" t="n">
        <v>34.73</v>
      </c>
      <c r="Z73" s="28" t="n">
        <f aca="false">X73*Y73</f>
        <v>0.6946</v>
      </c>
    </row>
    <row r="74" customFormat="false" ht="15" hidden="false" customHeight="false" outlineLevel="0" collapsed="false">
      <c r="R74" s="1" t="s">
        <v>294</v>
      </c>
      <c r="V74" s="55" t="s">
        <v>292</v>
      </c>
      <c r="W74" s="56" t="n">
        <v>2</v>
      </c>
      <c r="X74" s="57" t="n">
        <f aca="false">W74*8/$V$70</f>
        <v>0.4</v>
      </c>
      <c r="Y74" s="1" t="n">
        <v>20.51</v>
      </c>
      <c r="Z74" s="28" t="n">
        <f aca="false">X74*Y74</f>
        <v>8.204</v>
      </c>
    </row>
    <row r="75" customFormat="false" ht="15" hidden="false" customHeight="false" outlineLevel="0" collapsed="false">
      <c r="R75" s="1" t="s">
        <v>653</v>
      </c>
      <c r="V75" s="55" t="s">
        <v>292</v>
      </c>
      <c r="W75" s="56" t="n">
        <v>1</v>
      </c>
      <c r="X75" s="57" t="n">
        <f aca="false">W75*8/$V$70</f>
        <v>0.2</v>
      </c>
      <c r="Y75" s="1" t="n">
        <v>29.94</v>
      </c>
      <c r="Z75" s="28" t="n">
        <f aca="false">X75*Y75</f>
        <v>5.988</v>
      </c>
    </row>
    <row r="76" customFormat="false" ht="15" hidden="false" customHeight="false" outlineLevel="0" collapsed="false">
      <c r="Z76" s="53" t="n">
        <f aca="false">SUM(Z73:Z75)</f>
        <v>14.8866</v>
      </c>
    </row>
    <row r="77" customFormat="false" ht="15" hidden="false" customHeight="false" outlineLevel="0" collapsed="false">
      <c r="R77" s="54" t="s">
        <v>654</v>
      </c>
      <c r="V77" s="55"/>
      <c r="W77" s="56"/>
      <c r="X77" s="57"/>
      <c r="Z77" s="28"/>
    </row>
    <row r="78" customFormat="false" ht="15" hidden="false" customHeight="false" outlineLevel="0" collapsed="false">
      <c r="R78" s="1" t="s">
        <v>656</v>
      </c>
      <c r="V78" s="55" t="s">
        <v>204</v>
      </c>
      <c r="W78" s="56"/>
      <c r="X78" s="57" t="n">
        <v>0.08</v>
      </c>
      <c r="Y78" s="1" t="n">
        <v>6.14</v>
      </c>
      <c r="Z78" s="28" t="n">
        <f aca="false">X78*Y78</f>
        <v>0.4912</v>
      </c>
    </row>
    <row r="79" customFormat="false" ht="15" hidden="false" customHeight="false" outlineLevel="0" collapsed="false">
      <c r="V79" s="55"/>
      <c r="X79" s="57"/>
      <c r="Z79" s="53" t="n">
        <f aca="false">SUM(Z78:Z78)</f>
        <v>0.4912</v>
      </c>
    </row>
    <row r="80" customFormat="false" ht="15" hidden="false" customHeight="false" outlineLevel="0" collapsed="false">
      <c r="R80" s="54" t="s">
        <v>310</v>
      </c>
    </row>
    <row r="81" customFormat="false" ht="15" hidden="false" customHeight="false" outlineLevel="0" collapsed="false">
      <c r="R81" s="1" t="s">
        <v>311</v>
      </c>
      <c r="V81" s="55" t="s">
        <v>312</v>
      </c>
      <c r="X81" s="57" t="n">
        <v>5</v>
      </c>
      <c r="Y81" s="28" t="n">
        <f aca="false">Z76</f>
        <v>14.8866</v>
      </c>
      <c r="Z81" s="28" t="n">
        <f aca="false">X81%*Y81</f>
        <v>0.74433</v>
      </c>
    </row>
    <row r="82" customFormat="false" ht="15" hidden="false" customHeight="false" outlineLevel="0" collapsed="false">
      <c r="R82" s="1" t="s">
        <v>657</v>
      </c>
      <c r="V82" s="55" t="s">
        <v>338</v>
      </c>
      <c r="W82" s="56" t="n">
        <v>1</v>
      </c>
      <c r="X82" s="57" t="n">
        <f aca="false">W82*8/$V$70</f>
        <v>0.2</v>
      </c>
      <c r="Y82" s="1" t="n">
        <v>17.47</v>
      </c>
      <c r="Z82" s="28" t="n">
        <f aca="false">X82*Y82</f>
        <v>3.494</v>
      </c>
    </row>
    <row r="83" customFormat="false" ht="15" hidden="false" customHeight="false" outlineLevel="0" collapsed="false">
      <c r="R83" s="1" t="s">
        <v>658</v>
      </c>
      <c r="V83" s="55" t="s">
        <v>338</v>
      </c>
      <c r="W83" s="56" t="n">
        <v>0.05</v>
      </c>
      <c r="X83" s="57" t="n">
        <f aca="false">W83*8/$V$70</f>
        <v>0.01</v>
      </c>
      <c r="Y83" s="1" t="n">
        <v>17.47</v>
      </c>
      <c r="Z83" s="28" t="n">
        <f aca="false">X83*Y83</f>
        <v>0.1747</v>
      </c>
    </row>
    <row r="84" customFormat="false" ht="15" hidden="false" customHeight="false" outlineLevel="0" collapsed="false">
      <c r="Q84" s="60"/>
      <c r="R84" s="60"/>
      <c r="S84" s="60"/>
      <c r="T84" s="60"/>
      <c r="U84" s="60"/>
      <c r="V84" s="60"/>
      <c r="W84" s="60"/>
      <c r="X84" s="60"/>
      <c r="Y84" s="80"/>
      <c r="Z84" s="61" t="n">
        <f aca="false">SUM(Z81:Z83)</f>
        <v>4.41303</v>
      </c>
    </row>
    <row r="86" customFormat="false" ht="15" hidden="false" customHeight="false" outlineLevel="0" collapsed="false">
      <c r="Q86" s="14" t="s">
        <v>278</v>
      </c>
      <c r="R86" s="14"/>
      <c r="S86" s="14" t="s">
        <v>1345</v>
      </c>
      <c r="T86" s="14"/>
    </row>
    <row r="87" customFormat="false" ht="15" hidden="false" customHeight="false" outlineLevel="0" collapsed="false">
      <c r="Q87" s="14" t="s">
        <v>279</v>
      </c>
      <c r="R87" s="14" t="s">
        <v>280</v>
      </c>
      <c r="S87" s="36" t="s">
        <v>281</v>
      </c>
      <c r="T87" s="52" t="n">
        <v>500</v>
      </c>
      <c r="U87" s="36" t="s">
        <v>282</v>
      </c>
      <c r="V87" s="52" t="n">
        <f aca="false">T87</f>
        <v>500</v>
      </c>
      <c r="W87" s="14" t="s">
        <v>283</v>
      </c>
      <c r="Y87" s="36" t="s">
        <v>134</v>
      </c>
      <c r="Z87" s="53" t="n">
        <f aca="false">Z93+Z99</f>
        <v>7.930344</v>
      </c>
    </row>
    <row r="88" customFormat="false" ht="15" hidden="false" customHeight="false" outlineLevel="0" collapsed="false">
      <c r="Q88" s="14" t="s">
        <v>284</v>
      </c>
      <c r="R88" s="14" t="s">
        <v>285</v>
      </c>
      <c r="V88" s="36" t="s">
        <v>123</v>
      </c>
      <c r="W88" s="36" t="s">
        <v>286</v>
      </c>
      <c r="X88" s="36" t="s">
        <v>287</v>
      </c>
      <c r="Y88" s="36" t="s">
        <v>288</v>
      </c>
      <c r="Z88" s="36" t="s">
        <v>289</v>
      </c>
    </row>
    <row r="89" customFormat="false" ht="15" hidden="false" customHeight="false" outlineLevel="0" collapsed="false">
      <c r="R89" s="54" t="s">
        <v>290</v>
      </c>
    </row>
    <row r="90" customFormat="false" ht="15" hidden="false" customHeight="false" outlineLevel="0" collapsed="false">
      <c r="R90" s="1" t="s">
        <v>651</v>
      </c>
      <c r="V90" s="55" t="s">
        <v>292</v>
      </c>
      <c r="W90" s="56" t="n">
        <v>1</v>
      </c>
      <c r="X90" s="57" t="n">
        <f aca="false">W90*8/$T$87</f>
        <v>0.016</v>
      </c>
      <c r="Y90" s="1" t="n">
        <v>34.73</v>
      </c>
      <c r="Z90" s="28" t="n">
        <f aca="false">X90*Y90</f>
        <v>0.55568</v>
      </c>
    </row>
    <row r="91" customFormat="false" ht="15" hidden="false" customHeight="false" outlineLevel="0" collapsed="false">
      <c r="R91" s="1" t="s">
        <v>293</v>
      </c>
      <c r="V91" s="55" t="s">
        <v>292</v>
      </c>
      <c r="W91" s="56" t="n">
        <v>1</v>
      </c>
      <c r="X91" s="57" t="n">
        <f aca="false">W91*8/$T$87</f>
        <v>0.016</v>
      </c>
      <c r="Y91" s="1" t="n">
        <v>23.6</v>
      </c>
      <c r="Z91" s="28" t="n">
        <f aca="false">X91*Y91</f>
        <v>0.3776</v>
      </c>
    </row>
    <row r="92" customFormat="false" ht="15" hidden="false" customHeight="false" outlineLevel="0" collapsed="false">
      <c r="R92" s="1" t="s">
        <v>294</v>
      </c>
      <c r="V92" s="55" t="s">
        <v>292</v>
      </c>
      <c r="W92" s="56" t="n">
        <v>3</v>
      </c>
      <c r="X92" s="57" t="n">
        <f aca="false">W92*8/$T$87</f>
        <v>0.048</v>
      </c>
      <c r="Y92" s="1" t="n">
        <v>20.51</v>
      </c>
      <c r="Z92" s="28" t="n">
        <f aca="false">X92*Y92</f>
        <v>0.98448</v>
      </c>
    </row>
    <row r="93" customFormat="false" ht="15" hidden="false" customHeight="false" outlineLevel="0" collapsed="false">
      <c r="Z93" s="53" t="n">
        <f aca="false">SUM(Z90:Z92)</f>
        <v>1.91776</v>
      </c>
    </row>
    <row r="94" customFormat="false" ht="15" hidden="false" customHeight="false" outlineLevel="0" collapsed="false">
      <c r="R94" s="54" t="s">
        <v>310</v>
      </c>
    </row>
    <row r="95" customFormat="false" ht="15" hidden="false" customHeight="false" outlineLevel="0" collapsed="false">
      <c r="R95" s="1" t="s">
        <v>311</v>
      </c>
      <c r="V95" s="55" t="s">
        <v>312</v>
      </c>
      <c r="X95" s="57" t="n">
        <v>5</v>
      </c>
      <c r="Y95" s="28" t="n">
        <f aca="false">Z90</f>
        <v>0.55568</v>
      </c>
      <c r="Z95" s="28" t="n">
        <f aca="false">X95%*Y95</f>
        <v>0.027784</v>
      </c>
    </row>
    <row r="96" customFormat="false" ht="15" hidden="false" customHeight="true" outlineLevel="0" collapsed="false">
      <c r="R96" s="1" t="s">
        <v>657</v>
      </c>
      <c r="V96" s="55" t="s">
        <v>338</v>
      </c>
      <c r="W96" s="56" t="n">
        <v>1</v>
      </c>
      <c r="X96" s="57" t="n">
        <f aca="false">W96*8/$T$87</f>
        <v>0.016</v>
      </c>
      <c r="Y96" s="1" t="n">
        <v>17.47</v>
      </c>
      <c r="Z96" s="28" t="n">
        <f aca="false">X96*Y96</f>
        <v>0.27952</v>
      </c>
    </row>
    <row r="97" customFormat="false" ht="15" hidden="false" customHeight="true" outlineLevel="0" collapsed="false">
      <c r="R97" s="1" t="s">
        <v>659</v>
      </c>
      <c r="V97" s="55" t="s">
        <v>338</v>
      </c>
      <c r="W97" s="56" t="n">
        <v>1</v>
      </c>
      <c r="X97" s="57" t="n">
        <f aca="false">W97*8/$T$87</f>
        <v>0.016</v>
      </c>
      <c r="Y97" s="1" t="n">
        <v>136.06</v>
      </c>
      <c r="Z97" s="28" t="n">
        <f aca="false">X97*Y97</f>
        <v>2.17696</v>
      </c>
    </row>
    <row r="98" customFormat="false" ht="15" hidden="false" customHeight="true" outlineLevel="0" collapsed="false">
      <c r="R98" s="1" t="s">
        <v>660</v>
      </c>
      <c r="S98" s="228"/>
      <c r="T98" s="228"/>
      <c r="U98" s="228"/>
      <c r="V98" s="55" t="s">
        <v>338</v>
      </c>
      <c r="W98" s="56" t="n">
        <v>1</v>
      </c>
      <c r="X98" s="57" t="n">
        <f aca="false">W98*8/$T$87</f>
        <v>0.016</v>
      </c>
      <c r="Y98" s="1" t="n">
        <v>220.52</v>
      </c>
      <c r="Z98" s="28" t="n">
        <f aca="false">X98*Y98</f>
        <v>3.52832</v>
      </c>
    </row>
    <row r="99" customFormat="false" ht="15" hidden="false" customHeight="false" outlineLevel="0" collapsed="false">
      <c r="Q99" s="60"/>
      <c r="R99" s="60"/>
      <c r="S99" s="60"/>
      <c r="T99" s="60"/>
      <c r="U99" s="60"/>
      <c r="V99" s="60"/>
      <c r="W99" s="60"/>
      <c r="X99" s="60"/>
      <c r="Y99" s="80"/>
      <c r="Z99" s="61" t="n">
        <f aca="false">SUM(Z95:Z98)</f>
        <v>6.012584</v>
      </c>
    </row>
    <row r="101" customFormat="false" ht="15" hidden="false" customHeight="false" outlineLevel="0" collapsed="false">
      <c r="Q101" s="14" t="s">
        <v>278</v>
      </c>
      <c r="R101" s="14"/>
      <c r="S101" s="14" t="s">
        <v>469</v>
      </c>
      <c r="T101" s="14"/>
    </row>
    <row r="102" customFormat="false" ht="15" hidden="false" customHeight="false" outlineLevel="0" collapsed="false">
      <c r="Q102" s="14" t="s">
        <v>279</v>
      </c>
      <c r="R102" s="14" t="s">
        <v>314</v>
      </c>
      <c r="S102" s="36" t="s">
        <v>281</v>
      </c>
      <c r="T102" s="52" t="n">
        <v>80</v>
      </c>
      <c r="U102" s="36" t="s">
        <v>282</v>
      </c>
      <c r="V102" s="52" t="n">
        <f aca="false">T102</f>
        <v>80</v>
      </c>
      <c r="W102" s="14" t="s">
        <v>283</v>
      </c>
      <c r="Y102" s="36" t="s">
        <v>145</v>
      </c>
      <c r="Z102" s="53" t="n">
        <f aca="false">Z106+Z110</f>
        <v>12.11253</v>
      </c>
    </row>
    <row r="103" customFormat="false" ht="15" hidden="false" customHeight="false" outlineLevel="0" collapsed="false">
      <c r="Q103" s="14" t="s">
        <v>284</v>
      </c>
      <c r="R103" s="14" t="s">
        <v>285</v>
      </c>
      <c r="V103" s="36" t="s">
        <v>123</v>
      </c>
      <c r="W103" s="36" t="s">
        <v>286</v>
      </c>
      <c r="X103" s="36" t="s">
        <v>287</v>
      </c>
      <c r="Y103" s="36" t="s">
        <v>288</v>
      </c>
      <c r="Z103" s="36" t="s">
        <v>289</v>
      </c>
    </row>
    <row r="104" customFormat="false" ht="15" hidden="false" customHeight="false" outlineLevel="0" collapsed="false">
      <c r="R104" s="54" t="s">
        <v>290</v>
      </c>
    </row>
    <row r="105" customFormat="false" ht="15" hidden="false" customHeight="false" outlineLevel="0" collapsed="false">
      <c r="R105" s="1" t="s">
        <v>294</v>
      </c>
      <c r="V105" s="55" t="s">
        <v>292</v>
      </c>
      <c r="W105" s="56" t="n">
        <v>1</v>
      </c>
      <c r="X105" s="57" t="n">
        <f aca="false">W105*8/$V$102</f>
        <v>0.1</v>
      </c>
      <c r="Y105" s="1" t="n">
        <v>20.51</v>
      </c>
      <c r="Z105" s="28" t="n">
        <f aca="false">X105*Y105</f>
        <v>2.051</v>
      </c>
    </row>
    <row r="106" customFormat="false" ht="15" hidden="false" customHeight="false" outlineLevel="0" collapsed="false">
      <c r="V106" s="55"/>
      <c r="W106" s="56"/>
      <c r="X106" s="57"/>
      <c r="Z106" s="53" t="n">
        <f aca="false">SUM(Z105:Z105)</f>
        <v>2.051</v>
      </c>
    </row>
    <row r="107" customFormat="false" ht="15" hidden="false" customHeight="false" outlineLevel="0" collapsed="false">
      <c r="R107" s="54" t="s">
        <v>310</v>
      </c>
    </row>
    <row r="108" customFormat="false" ht="15" hidden="false" customHeight="false" outlineLevel="0" collapsed="false">
      <c r="R108" s="1" t="s">
        <v>311</v>
      </c>
      <c r="V108" s="55" t="s">
        <v>312</v>
      </c>
      <c r="X108" s="57" t="n">
        <v>3</v>
      </c>
      <c r="Y108" s="28" t="n">
        <f aca="false">Z106</f>
        <v>2.051</v>
      </c>
      <c r="Z108" s="28" t="n">
        <f aca="false">X108%*Y108</f>
        <v>0.06153</v>
      </c>
    </row>
    <row r="109" customFormat="false" ht="15" hidden="false" customHeight="false" outlineLevel="0" collapsed="false">
      <c r="R109" s="1" t="s">
        <v>661</v>
      </c>
      <c r="V109" s="55" t="s">
        <v>338</v>
      </c>
      <c r="W109" s="56" t="n">
        <v>1</v>
      </c>
      <c r="X109" s="57" t="n">
        <f aca="false">W109*8/$V$102</f>
        <v>0.1</v>
      </c>
      <c r="Y109" s="1" t="n">
        <v>100</v>
      </c>
      <c r="Z109" s="28" t="n">
        <f aca="false">X109*Y109</f>
        <v>10</v>
      </c>
    </row>
    <row r="110" customFormat="false" ht="15" hidden="false" customHeight="false" outlineLevel="0" collapsed="false">
      <c r="Q110" s="60"/>
      <c r="R110" s="60"/>
      <c r="S110" s="60"/>
      <c r="T110" s="60"/>
      <c r="U110" s="60"/>
      <c r="V110" s="60"/>
      <c r="W110" s="60"/>
      <c r="X110" s="60"/>
      <c r="Y110" s="80"/>
      <c r="Z110" s="61" t="n">
        <f aca="false">SUM(Z108:Z109)</f>
        <v>10.06153</v>
      </c>
    </row>
    <row r="112" customFormat="false" ht="15" hidden="false" customHeight="false" outlineLevel="0" collapsed="false">
      <c r="Q112" s="14" t="s">
        <v>278</v>
      </c>
      <c r="R112" s="14"/>
      <c r="S112" s="14" t="s">
        <v>471</v>
      </c>
      <c r="T112" s="14"/>
    </row>
    <row r="113" customFormat="false" ht="15" hidden="false" customHeight="false" outlineLevel="0" collapsed="false">
      <c r="Q113" s="14" t="s">
        <v>279</v>
      </c>
      <c r="R113" s="14" t="s">
        <v>417</v>
      </c>
      <c r="S113" s="36" t="s">
        <v>281</v>
      </c>
      <c r="T113" s="52" t="n">
        <v>187.5</v>
      </c>
      <c r="U113" s="36" t="s">
        <v>282</v>
      </c>
      <c r="V113" s="52" t="n">
        <f aca="false">T113</f>
        <v>187.5</v>
      </c>
      <c r="W113" s="14" t="s">
        <v>283</v>
      </c>
      <c r="Y113" s="36" t="s">
        <v>204</v>
      </c>
      <c r="Z113" s="53" t="n">
        <f aca="false">Z118+Z123</f>
        <v>22.9100074666667</v>
      </c>
    </row>
    <row r="114" customFormat="false" ht="15" hidden="false" customHeight="false" outlineLevel="0" collapsed="false">
      <c r="Q114" s="14" t="s">
        <v>284</v>
      </c>
      <c r="R114" s="14" t="s">
        <v>285</v>
      </c>
      <c r="V114" s="36" t="s">
        <v>123</v>
      </c>
      <c r="W114" s="36" t="s">
        <v>286</v>
      </c>
      <c r="X114" s="36" t="s">
        <v>287</v>
      </c>
      <c r="Y114" s="36" t="s">
        <v>288</v>
      </c>
      <c r="Z114" s="36" t="s">
        <v>289</v>
      </c>
    </row>
    <row r="115" customFormat="false" ht="15" hidden="false" customHeight="false" outlineLevel="0" collapsed="false">
      <c r="R115" s="54" t="s">
        <v>290</v>
      </c>
    </row>
    <row r="116" customFormat="false" ht="15" hidden="false" customHeight="false" outlineLevel="0" collapsed="false">
      <c r="R116" s="1" t="s">
        <v>293</v>
      </c>
      <c r="V116" s="55" t="s">
        <v>292</v>
      </c>
      <c r="W116" s="56" t="n">
        <v>1</v>
      </c>
      <c r="X116" s="57" t="n">
        <f aca="false">W116*8/$V$113</f>
        <v>0.0426666666666667</v>
      </c>
      <c r="Y116" s="1" t="n">
        <v>23.6</v>
      </c>
      <c r="Z116" s="28" t="n">
        <f aca="false">X116*Y116</f>
        <v>1.00693333333333</v>
      </c>
    </row>
    <row r="117" customFormat="false" ht="15" hidden="false" customHeight="false" outlineLevel="0" collapsed="false">
      <c r="R117" s="1" t="s">
        <v>294</v>
      </c>
      <c r="V117" s="55" t="s">
        <v>292</v>
      </c>
      <c r="W117" s="56" t="n">
        <v>1</v>
      </c>
      <c r="X117" s="57" t="n">
        <f aca="false">W117*8/$V$113</f>
        <v>0.0426666666666667</v>
      </c>
      <c r="Y117" s="1" t="n">
        <v>20.51</v>
      </c>
      <c r="Z117" s="28" t="n">
        <f aca="false">X117*Y117</f>
        <v>0.875093333333333</v>
      </c>
    </row>
    <row r="118" customFormat="false" ht="15" hidden="false" customHeight="false" outlineLevel="0" collapsed="false">
      <c r="V118" s="55"/>
      <c r="W118" s="56"/>
      <c r="X118" s="57"/>
      <c r="Z118" s="53" t="n">
        <f aca="false">SUM(Z116:Z117)</f>
        <v>1.88202666666667</v>
      </c>
    </row>
    <row r="119" customFormat="false" ht="15" hidden="false" customHeight="false" outlineLevel="0" collapsed="false">
      <c r="R119" s="54" t="s">
        <v>310</v>
      </c>
    </row>
    <row r="120" customFormat="false" ht="15" hidden="false" customHeight="false" outlineLevel="0" collapsed="false">
      <c r="R120" s="1" t="s">
        <v>311</v>
      </c>
      <c r="V120" s="55" t="s">
        <v>312</v>
      </c>
      <c r="X120" s="57" t="n">
        <v>3</v>
      </c>
      <c r="Y120" s="28" t="n">
        <f aca="false">Z118</f>
        <v>1.88202666666667</v>
      </c>
      <c r="Z120" s="28" t="n">
        <f aca="false">X120%*Y120</f>
        <v>0.0564608</v>
      </c>
    </row>
    <row r="121" customFormat="false" ht="15" hidden="false" customHeight="false" outlineLevel="0" collapsed="false">
      <c r="R121" s="1" t="s">
        <v>662</v>
      </c>
      <c r="V121" s="55" t="s">
        <v>338</v>
      </c>
      <c r="W121" s="56" t="n">
        <v>1</v>
      </c>
      <c r="X121" s="57" t="n">
        <f aca="false">W121*8/$V$113</f>
        <v>0.0426666666666667</v>
      </c>
      <c r="Y121" s="46" t="n">
        <v>118.64</v>
      </c>
      <c r="Z121" s="28" t="n">
        <f aca="false">X121*Y121</f>
        <v>5.06197333333333</v>
      </c>
    </row>
    <row r="122" customFormat="false" ht="15" hidden="false" customHeight="false" outlineLevel="0" collapsed="false">
      <c r="R122" s="1" t="s">
        <v>663</v>
      </c>
      <c r="V122" s="55" t="s">
        <v>338</v>
      </c>
      <c r="W122" s="56" t="n">
        <v>2</v>
      </c>
      <c r="X122" s="57" t="n">
        <f aca="false">W122*8/$V$113</f>
        <v>0.0853333333333333</v>
      </c>
      <c r="Y122" s="46" t="n">
        <v>186.44</v>
      </c>
      <c r="Z122" s="28" t="n">
        <f aca="false">X122*Y122</f>
        <v>15.9095466666667</v>
      </c>
    </row>
    <row r="123" customFormat="false" ht="15" hidden="false" customHeight="false" outlineLevel="0" collapsed="false">
      <c r="Q123" s="60"/>
      <c r="R123" s="60"/>
      <c r="S123" s="60"/>
      <c r="T123" s="60"/>
      <c r="U123" s="60"/>
      <c r="V123" s="60"/>
      <c r="W123" s="60"/>
      <c r="X123" s="60"/>
      <c r="Y123" s="80"/>
      <c r="Z123" s="61" t="n">
        <f aca="false">SUM(Z120:Z122)</f>
        <v>21.0279808</v>
      </c>
    </row>
    <row r="125" customFormat="false" ht="15" hidden="false" customHeight="false" outlineLevel="0" collapsed="false">
      <c r="Q125" s="82" t="s">
        <v>278</v>
      </c>
      <c r="R125" s="82"/>
      <c r="S125" s="82" t="s">
        <v>484</v>
      </c>
      <c r="T125" s="82"/>
    </row>
    <row r="126" customFormat="false" ht="15" hidden="false" customHeight="false" outlineLevel="0" collapsed="false">
      <c r="Q126" s="82" t="s">
        <v>279</v>
      </c>
      <c r="R126" s="82" t="s">
        <v>280</v>
      </c>
      <c r="S126" s="84" t="s">
        <v>281</v>
      </c>
      <c r="T126" s="85" t="n">
        <v>50</v>
      </c>
      <c r="U126" s="84" t="s">
        <v>282</v>
      </c>
      <c r="V126" s="85" t="n">
        <f aca="false">T126</f>
        <v>50</v>
      </c>
      <c r="W126" s="82" t="s">
        <v>283</v>
      </c>
      <c r="Y126" s="84" t="s">
        <v>134</v>
      </c>
      <c r="Z126" s="86" t="n">
        <f aca="false">Z134+Z141+Z145</f>
        <v>238.3435744</v>
      </c>
    </row>
    <row r="127" customFormat="false" ht="15" hidden="false" customHeight="false" outlineLevel="0" collapsed="false">
      <c r="Q127" s="82" t="s">
        <v>284</v>
      </c>
      <c r="R127" s="82" t="s">
        <v>285</v>
      </c>
      <c r="V127" s="84" t="s">
        <v>123</v>
      </c>
      <c r="W127" s="84" t="s">
        <v>286</v>
      </c>
      <c r="X127" s="84" t="s">
        <v>287</v>
      </c>
      <c r="Y127" s="84" t="s">
        <v>288</v>
      </c>
      <c r="Z127" s="84" t="s">
        <v>289</v>
      </c>
    </row>
    <row r="128" customFormat="false" ht="15" hidden="false" customHeight="false" outlineLevel="0" collapsed="false">
      <c r="R128" s="87" t="s">
        <v>290</v>
      </c>
    </row>
    <row r="129" customFormat="false" ht="15" hidden="false" customHeight="false" outlineLevel="0" collapsed="false">
      <c r="R129" s="1" t="s">
        <v>651</v>
      </c>
      <c r="V129" s="55" t="s">
        <v>292</v>
      </c>
      <c r="W129" s="56" t="n">
        <v>0.1</v>
      </c>
      <c r="X129" s="57" t="n">
        <f aca="false">W129*8/$T$126</f>
        <v>0.016</v>
      </c>
      <c r="Y129" s="1" t="n">
        <v>34.73</v>
      </c>
      <c r="Z129" s="28" t="n">
        <f aca="false">X129*Y129</f>
        <v>0.55568</v>
      </c>
    </row>
    <row r="130" customFormat="false" ht="15" hidden="false" customHeight="false" outlineLevel="0" collapsed="false">
      <c r="R130" s="1" t="s">
        <v>291</v>
      </c>
      <c r="V130" s="55" t="s">
        <v>292</v>
      </c>
      <c r="W130" s="56" t="n">
        <v>1</v>
      </c>
      <c r="X130" s="57" t="n">
        <f aca="false">W130*8/$T$126</f>
        <v>0.16</v>
      </c>
      <c r="Y130" s="28" t="n">
        <v>28.94</v>
      </c>
      <c r="Z130" s="28" t="n">
        <f aca="false">X130*Y130</f>
        <v>4.6304</v>
      </c>
    </row>
    <row r="131" customFormat="false" ht="15" hidden="false" customHeight="false" outlineLevel="0" collapsed="false">
      <c r="R131" s="1" t="s">
        <v>293</v>
      </c>
      <c r="V131" s="55" t="s">
        <v>292</v>
      </c>
      <c r="W131" s="56" t="n">
        <v>2</v>
      </c>
      <c r="X131" s="57" t="n">
        <f aca="false">W131*8/$T$126</f>
        <v>0.32</v>
      </c>
      <c r="Y131" s="28" t="n">
        <v>23.6</v>
      </c>
      <c r="Z131" s="28" t="n">
        <f aca="false">X131*Y131</f>
        <v>7.552</v>
      </c>
    </row>
    <row r="132" customFormat="false" ht="15" hidden="false" customHeight="false" outlineLevel="0" collapsed="false">
      <c r="R132" s="1" t="s">
        <v>294</v>
      </c>
      <c r="V132" s="55" t="s">
        <v>292</v>
      </c>
      <c r="W132" s="56" t="n">
        <v>5</v>
      </c>
      <c r="X132" s="57" t="n">
        <f aca="false">W132*8/$T$126</f>
        <v>0.8</v>
      </c>
      <c r="Y132" s="28" t="n">
        <v>21.36</v>
      </c>
      <c r="Z132" s="28" t="n">
        <f aca="false">X132*Y132</f>
        <v>17.088</v>
      </c>
    </row>
    <row r="133" customFormat="false" ht="15" hidden="false" customHeight="false" outlineLevel="0" collapsed="false">
      <c r="R133" s="1" t="s">
        <v>653</v>
      </c>
      <c r="V133" s="55" t="s">
        <v>292</v>
      </c>
      <c r="W133" s="56" t="n">
        <v>1</v>
      </c>
      <c r="X133" s="57" t="n">
        <f aca="false">W133*8/$T$126</f>
        <v>0.16</v>
      </c>
      <c r="Y133" s="1" t="n">
        <v>29.94</v>
      </c>
      <c r="Z133" s="28" t="n">
        <f aca="false">X133*Y133</f>
        <v>4.7904</v>
      </c>
    </row>
    <row r="134" customFormat="false" ht="15" hidden="false" customHeight="false" outlineLevel="0" collapsed="false">
      <c r="V134" s="55"/>
      <c r="W134" s="56"/>
      <c r="X134" s="57"/>
      <c r="Z134" s="86" t="n">
        <f aca="false">SUM(Z129:Z133)</f>
        <v>34.61648</v>
      </c>
    </row>
    <row r="135" customFormat="false" ht="15" hidden="false" customHeight="false" outlineLevel="0" collapsed="false">
      <c r="R135" s="87" t="s">
        <v>654</v>
      </c>
      <c r="V135" s="55"/>
      <c r="W135" s="56"/>
      <c r="X135" s="57"/>
      <c r="Z135" s="28"/>
    </row>
    <row r="136" customFormat="false" ht="15" hidden="false" customHeight="false" outlineLevel="0" collapsed="false">
      <c r="R136" s="1" t="s">
        <v>307</v>
      </c>
      <c r="V136" s="55" t="s">
        <v>308</v>
      </c>
      <c r="X136" s="57" t="n">
        <v>3.8</v>
      </c>
      <c r="Y136" s="28" t="n">
        <v>24.52</v>
      </c>
      <c r="Z136" s="28" t="n">
        <f aca="false">X136*Y136</f>
        <v>93.176</v>
      </c>
    </row>
    <row r="137" customFormat="false" ht="15" hidden="false" customHeight="false" outlineLevel="0" collapsed="false">
      <c r="R137" s="1" t="s">
        <v>656</v>
      </c>
      <c r="V137" s="55" t="s">
        <v>204</v>
      </c>
      <c r="X137" s="57" t="n">
        <v>0.08</v>
      </c>
      <c r="Y137" s="1" t="n">
        <v>6.14</v>
      </c>
      <c r="Z137" s="28" t="n">
        <f aca="false">X137*Y137</f>
        <v>0.4912</v>
      </c>
    </row>
    <row r="138" customFormat="false" ht="15" hidden="false" customHeight="false" outlineLevel="0" collapsed="false">
      <c r="R138" s="1" t="s">
        <v>666</v>
      </c>
      <c r="V138" s="55" t="s">
        <v>440</v>
      </c>
      <c r="X138" s="57" t="n">
        <v>0.5</v>
      </c>
      <c r="Y138" s="1" t="n">
        <v>13.93</v>
      </c>
      <c r="Z138" s="28" t="n">
        <f aca="false">X138*Y138</f>
        <v>6.965</v>
      </c>
    </row>
    <row r="139" customFormat="false" ht="15" hidden="false" customHeight="false" outlineLevel="0" collapsed="false">
      <c r="R139" s="1" t="s">
        <v>303</v>
      </c>
      <c r="V139" s="55" t="s">
        <v>204</v>
      </c>
      <c r="X139" s="57" t="n">
        <v>0.93</v>
      </c>
      <c r="Y139" s="88" t="n">
        <v>70.92</v>
      </c>
      <c r="Z139" s="28" t="n">
        <f aca="false">X139*Y139</f>
        <v>65.9556</v>
      </c>
    </row>
    <row r="140" customFormat="false" ht="15" hidden="false" customHeight="false" outlineLevel="0" collapsed="false">
      <c r="R140" s="1" t="s">
        <v>667</v>
      </c>
      <c r="V140" s="55" t="s">
        <v>204</v>
      </c>
      <c r="X140" s="57" t="n">
        <v>0.4</v>
      </c>
      <c r="Y140" s="88" t="n">
        <v>80</v>
      </c>
      <c r="Z140" s="28" t="n">
        <f aca="false">X140*Y140</f>
        <v>32</v>
      </c>
    </row>
    <row r="141" customFormat="false" ht="15" hidden="false" customHeight="false" outlineLevel="0" collapsed="false">
      <c r="V141" s="55"/>
      <c r="X141" s="57"/>
      <c r="Y141" s="28"/>
      <c r="Z141" s="86" t="n">
        <f aca="false">SUM(Z136:Z140)</f>
        <v>198.5878</v>
      </c>
    </row>
    <row r="142" customFormat="false" ht="15" hidden="false" customHeight="false" outlineLevel="0" collapsed="false">
      <c r="R142" s="87" t="s">
        <v>310</v>
      </c>
    </row>
    <row r="143" customFormat="false" ht="15" hidden="false" customHeight="false" outlineLevel="0" collapsed="false">
      <c r="R143" s="1" t="s">
        <v>311</v>
      </c>
      <c r="V143" s="55" t="s">
        <v>312</v>
      </c>
      <c r="X143" s="57" t="n">
        <v>3</v>
      </c>
      <c r="Y143" s="28" t="n">
        <f aca="false">Z134</f>
        <v>34.61648</v>
      </c>
      <c r="Z143" s="28" t="n">
        <f aca="false">X143%*Y143</f>
        <v>1.0384944</v>
      </c>
    </row>
    <row r="144" customFormat="false" ht="15" hidden="false" customHeight="false" outlineLevel="0" collapsed="false">
      <c r="R144" s="1" t="s">
        <v>668</v>
      </c>
      <c r="V144" s="55" t="s">
        <v>338</v>
      </c>
      <c r="W144" s="56" t="n">
        <v>1</v>
      </c>
      <c r="X144" s="57" t="n">
        <f aca="false">W144*8/$T$126</f>
        <v>0.16</v>
      </c>
      <c r="Y144" s="28" t="n">
        <v>25.63</v>
      </c>
      <c r="Z144" s="28" t="n">
        <f aca="false">X144*Y144</f>
        <v>4.1008</v>
      </c>
    </row>
    <row r="145" customFormat="false" ht="15" hidden="false" customHeight="false" outlineLevel="0" collapsed="false">
      <c r="Q145" s="60"/>
      <c r="R145" s="60"/>
      <c r="S145" s="60"/>
      <c r="T145" s="60"/>
      <c r="U145" s="60"/>
      <c r="V145" s="60"/>
      <c r="W145" s="60"/>
      <c r="X145" s="60"/>
      <c r="Y145" s="60"/>
      <c r="Z145" s="89" t="n">
        <f aca="false">SUM(Z143:Z144)</f>
        <v>5.1392944</v>
      </c>
    </row>
    <row r="151" customFormat="false" ht="15" hidden="false" customHeight="false" outlineLevel="0" collapsed="false">
      <c r="Q151" s="82" t="s">
        <v>278</v>
      </c>
      <c r="R151" s="82"/>
      <c r="S151" s="82" t="s">
        <v>669</v>
      </c>
      <c r="T151" s="82"/>
    </row>
    <row r="152" customFormat="false" ht="15" hidden="false" customHeight="false" outlineLevel="0" collapsed="false">
      <c r="Q152" s="82" t="s">
        <v>279</v>
      </c>
      <c r="R152" s="82" t="s">
        <v>280</v>
      </c>
      <c r="S152" s="84" t="s">
        <v>281</v>
      </c>
      <c r="T152" s="85" t="n">
        <v>110</v>
      </c>
      <c r="U152" s="84" t="s">
        <v>282</v>
      </c>
      <c r="V152" s="85" t="n">
        <f aca="false">T152</f>
        <v>110</v>
      </c>
      <c r="W152" s="82" t="s">
        <v>283</v>
      </c>
      <c r="Y152" s="84" t="s">
        <v>134</v>
      </c>
      <c r="Z152" s="86" t="n">
        <f aca="false">Z158+Z164+Z168</f>
        <v>39.6208818181818</v>
      </c>
    </row>
    <row r="153" customFormat="false" ht="15" hidden="false" customHeight="false" outlineLevel="0" collapsed="false">
      <c r="Q153" s="82" t="s">
        <v>284</v>
      </c>
      <c r="R153" s="82" t="s">
        <v>285</v>
      </c>
      <c r="V153" s="84" t="s">
        <v>123</v>
      </c>
      <c r="W153" s="84" t="s">
        <v>286</v>
      </c>
      <c r="X153" s="84" t="s">
        <v>287</v>
      </c>
      <c r="Y153" s="84" t="s">
        <v>288</v>
      </c>
      <c r="Z153" s="84" t="s">
        <v>289</v>
      </c>
    </row>
    <row r="154" customFormat="false" ht="15" hidden="false" customHeight="false" outlineLevel="0" collapsed="false">
      <c r="R154" s="87" t="s">
        <v>290</v>
      </c>
    </row>
    <row r="155" customFormat="false" ht="15" hidden="false" customHeight="false" outlineLevel="0" collapsed="false">
      <c r="R155" s="1" t="s">
        <v>291</v>
      </c>
      <c r="V155" s="55" t="s">
        <v>292</v>
      </c>
      <c r="W155" s="56" t="n">
        <v>2</v>
      </c>
      <c r="X155" s="57" t="n">
        <f aca="false">W155*8/$T$152</f>
        <v>0.145454545454545</v>
      </c>
      <c r="Y155" s="28" t="n">
        <v>28.94</v>
      </c>
      <c r="Z155" s="28" t="n">
        <f aca="false">X155*Y155</f>
        <v>4.20945454545455</v>
      </c>
    </row>
    <row r="156" customFormat="false" ht="15" hidden="false" customHeight="false" outlineLevel="0" collapsed="false">
      <c r="R156" s="1" t="s">
        <v>293</v>
      </c>
      <c r="V156" s="55" t="s">
        <v>292</v>
      </c>
      <c r="W156" s="56" t="n">
        <v>1</v>
      </c>
      <c r="X156" s="57" t="n">
        <f aca="false">W156*8/$T$152</f>
        <v>0.0727272727272727</v>
      </c>
      <c r="Y156" s="28" t="n">
        <v>23.6</v>
      </c>
      <c r="Z156" s="28" t="n">
        <f aca="false">X156*Y156</f>
        <v>1.71636363636364</v>
      </c>
    </row>
    <row r="157" customFormat="false" ht="15" hidden="false" customHeight="false" outlineLevel="0" collapsed="false">
      <c r="R157" s="1" t="s">
        <v>294</v>
      </c>
      <c r="V157" s="55" t="s">
        <v>292</v>
      </c>
      <c r="W157" s="56" t="n">
        <v>6</v>
      </c>
      <c r="X157" s="57" t="n">
        <f aca="false">W157*8/$T$152</f>
        <v>0.436363636363636</v>
      </c>
      <c r="Y157" s="28" t="n">
        <v>21.36</v>
      </c>
      <c r="Z157" s="28" t="n">
        <f aca="false">X157*Y157</f>
        <v>9.32072727272727</v>
      </c>
    </row>
    <row r="158" customFormat="false" ht="15" hidden="false" customHeight="false" outlineLevel="0" collapsed="false">
      <c r="V158" s="55"/>
      <c r="W158" s="56"/>
      <c r="X158" s="57"/>
      <c r="Z158" s="86" t="n">
        <f aca="false">SUM(Z155:Z157)</f>
        <v>15.2465454545455</v>
      </c>
    </row>
    <row r="159" customFormat="false" ht="15" hidden="false" customHeight="false" outlineLevel="0" collapsed="false">
      <c r="R159" s="87" t="s">
        <v>654</v>
      </c>
      <c r="V159" s="55"/>
      <c r="W159" s="56"/>
      <c r="X159" s="57"/>
      <c r="Z159" s="28"/>
    </row>
    <row r="160" customFormat="false" ht="15" hidden="false" customHeight="false" outlineLevel="0" collapsed="false">
      <c r="R160" s="1" t="s">
        <v>307</v>
      </c>
      <c r="V160" s="55" t="s">
        <v>308</v>
      </c>
      <c r="X160" s="57" t="n">
        <v>0.42</v>
      </c>
      <c r="Y160" s="28" t="n">
        <v>24.52</v>
      </c>
      <c r="Z160" s="28" t="n">
        <f aca="false">X160*Y160</f>
        <v>10.2984</v>
      </c>
    </row>
    <row r="161" customFormat="false" ht="15" hidden="false" customHeight="false" outlineLevel="0" collapsed="false">
      <c r="R161" s="1" t="s">
        <v>656</v>
      </c>
      <c r="V161" s="55" t="s">
        <v>204</v>
      </c>
      <c r="X161" s="57" t="n">
        <v>0.025</v>
      </c>
      <c r="Y161" s="1" t="n">
        <v>6.14</v>
      </c>
      <c r="Z161" s="28" t="n">
        <f aca="false">X161*Y161</f>
        <v>0.1535</v>
      </c>
    </row>
    <row r="162" customFormat="false" ht="15" hidden="false" customHeight="false" outlineLevel="0" collapsed="false">
      <c r="R162" s="1" t="s">
        <v>303</v>
      </c>
      <c r="V162" s="55" t="s">
        <v>204</v>
      </c>
      <c r="X162" s="57" t="n">
        <v>0.162</v>
      </c>
      <c r="Y162" s="88" t="n">
        <v>70.92</v>
      </c>
      <c r="Z162" s="28" t="n">
        <f aca="false">X162*Y162</f>
        <v>11.48904</v>
      </c>
    </row>
    <row r="163" customFormat="false" ht="15" hidden="false" customHeight="false" outlineLevel="0" collapsed="false">
      <c r="R163" s="1" t="s">
        <v>670</v>
      </c>
      <c r="V163" s="55" t="s">
        <v>306</v>
      </c>
      <c r="X163" s="57" t="n">
        <v>0.18</v>
      </c>
      <c r="Y163" s="28" t="n">
        <v>5.8</v>
      </c>
      <c r="Z163" s="28" t="n">
        <f aca="false">X163*Y163</f>
        <v>1.044</v>
      </c>
    </row>
    <row r="164" customFormat="false" ht="15" hidden="false" customHeight="false" outlineLevel="0" collapsed="false">
      <c r="V164" s="55"/>
      <c r="X164" s="57"/>
      <c r="Y164" s="28"/>
      <c r="Z164" s="86" t="n">
        <f aca="false">SUM(Z160:Z163)</f>
        <v>22.98494</v>
      </c>
    </row>
    <row r="165" customFormat="false" ht="15" hidden="false" customHeight="false" outlineLevel="0" collapsed="false">
      <c r="R165" s="87" t="s">
        <v>310</v>
      </c>
    </row>
    <row r="166" customFormat="false" ht="15" hidden="false" customHeight="false" outlineLevel="0" collapsed="false">
      <c r="R166" s="1" t="s">
        <v>311</v>
      </c>
      <c r="V166" s="55" t="s">
        <v>312</v>
      </c>
      <c r="X166" s="57" t="n">
        <v>3</v>
      </c>
      <c r="Y166" s="28" t="n">
        <f aca="false">Z158</f>
        <v>15.2465454545455</v>
      </c>
      <c r="Z166" s="28" t="n">
        <f aca="false">X166%*Y166</f>
        <v>0.457396363636364</v>
      </c>
    </row>
    <row r="167" customFormat="false" ht="15" hidden="false" customHeight="false" outlineLevel="0" collapsed="false">
      <c r="R167" s="1" t="s">
        <v>668</v>
      </c>
      <c r="V167" s="55" t="s">
        <v>338</v>
      </c>
      <c r="W167" s="56" t="n">
        <v>0.5</v>
      </c>
      <c r="X167" s="57" t="n">
        <f aca="false">W167*8/$T$152</f>
        <v>0.0363636363636364</v>
      </c>
      <c r="Y167" s="28" t="n">
        <v>25.63</v>
      </c>
      <c r="Z167" s="28" t="n">
        <f aca="false">X167*Y167</f>
        <v>0.932</v>
      </c>
    </row>
    <row r="168" customFormat="false" ht="15" hidden="false" customHeight="false" outlineLevel="0" collapsed="false">
      <c r="Q168" s="60"/>
      <c r="R168" s="60"/>
      <c r="S168" s="60"/>
      <c r="T168" s="60"/>
      <c r="U168" s="60"/>
      <c r="V168" s="60"/>
      <c r="W168" s="60"/>
      <c r="X168" s="60"/>
      <c r="Y168" s="60"/>
      <c r="Z168" s="89" t="n">
        <f aca="false">SUM(Z166:Z167)</f>
        <v>1.38939636363636</v>
      </c>
    </row>
    <row r="170" customFormat="false" ht="15" hidden="false" customHeight="false" outlineLevel="0" collapsed="false">
      <c r="Q170" s="82" t="s">
        <v>278</v>
      </c>
      <c r="R170" s="82"/>
      <c r="S170" s="82" t="s">
        <v>671</v>
      </c>
      <c r="T170" s="82"/>
    </row>
    <row r="171" customFormat="false" ht="15" hidden="false" customHeight="false" outlineLevel="0" collapsed="false">
      <c r="Q171" s="82" t="s">
        <v>279</v>
      </c>
      <c r="R171" s="82" t="s">
        <v>280</v>
      </c>
      <c r="S171" s="84" t="s">
        <v>281</v>
      </c>
      <c r="T171" s="85" t="n">
        <v>120</v>
      </c>
      <c r="U171" s="84" t="s">
        <v>282</v>
      </c>
      <c r="V171" s="85" t="n">
        <f aca="false">T171</f>
        <v>120</v>
      </c>
      <c r="W171" s="82" t="s">
        <v>283</v>
      </c>
      <c r="Y171" s="84" t="s">
        <v>134</v>
      </c>
      <c r="Z171" s="86" t="n">
        <f aca="false">Z177+Z183+Z187</f>
        <v>27.126394</v>
      </c>
    </row>
    <row r="172" customFormat="false" ht="15" hidden="false" customHeight="false" outlineLevel="0" collapsed="false">
      <c r="Q172" s="82" t="s">
        <v>284</v>
      </c>
      <c r="R172" s="82" t="s">
        <v>285</v>
      </c>
      <c r="V172" s="84" t="s">
        <v>123</v>
      </c>
      <c r="W172" s="84" t="s">
        <v>286</v>
      </c>
      <c r="X172" s="84" t="s">
        <v>287</v>
      </c>
      <c r="Y172" s="84" t="s">
        <v>288</v>
      </c>
      <c r="Z172" s="84" t="s">
        <v>289</v>
      </c>
    </row>
    <row r="173" customFormat="false" ht="15" hidden="false" customHeight="false" outlineLevel="0" collapsed="false">
      <c r="R173" s="87" t="s">
        <v>290</v>
      </c>
    </row>
    <row r="174" customFormat="false" ht="15" hidden="false" customHeight="false" outlineLevel="0" collapsed="false">
      <c r="R174" s="1" t="s">
        <v>291</v>
      </c>
      <c r="V174" s="55" t="s">
        <v>292</v>
      </c>
      <c r="W174" s="56" t="n">
        <v>2</v>
      </c>
      <c r="X174" s="57" t="n">
        <f aca="false">W174*8/$T$171</f>
        <v>0.133333333333333</v>
      </c>
      <c r="Y174" s="28" t="n">
        <v>28.94</v>
      </c>
      <c r="Z174" s="28" t="n">
        <f aca="false">X174*Y174</f>
        <v>3.85866666666667</v>
      </c>
    </row>
    <row r="175" customFormat="false" ht="15" hidden="false" customHeight="false" outlineLevel="0" collapsed="false">
      <c r="R175" s="1" t="s">
        <v>293</v>
      </c>
      <c r="V175" s="55" t="s">
        <v>292</v>
      </c>
      <c r="W175" s="56" t="n">
        <v>2</v>
      </c>
      <c r="X175" s="57" t="n">
        <f aca="false">W175*8/$T$171</f>
        <v>0.133333333333333</v>
      </c>
      <c r="Y175" s="28" t="n">
        <v>23.6</v>
      </c>
      <c r="Z175" s="28" t="n">
        <f aca="false">X175*Y175</f>
        <v>3.14666666666667</v>
      </c>
    </row>
    <row r="176" customFormat="false" ht="15" hidden="false" customHeight="false" outlineLevel="0" collapsed="false">
      <c r="R176" s="1" t="s">
        <v>294</v>
      </c>
      <c r="V176" s="55" t="s">
        <v>292</v>
      </c>
      <c r="W176" s="56" t="n">
        <v>6</v>
      </c>
      <c r="X176" s="57" t="n">
        <f aca="false">W176*8/$T$171</f>
        <v>0.4</v>
      </c>
      <c r="Y176" s="28" t="n">
        <v>21.36</v>
      </c>
      <c r="Z176" s="28" t="n">
        <f aca="false">X176*Y176</f>
        <v>8.544</v>
      </c>
    </row>
    <row r="177" customFormat="false" ht="15" hidden="false" customHeight="false" outlineLevel="0" collapsed="false">
      <c r="V177" s="55"/>
      <c r="W177" s="56"/>
      <c r="X177" s="57"/>
      <c r="Z177" s="86" t="n">
        <f aca="false">SUM(Z174:Z176)</f>
        <v>15.5493333333333</v>
      </c>
    </row>
    <row r="178" customFormat="false" ht="15" hidden="false" customHeight="false" outlineLevel="0" collapsed="false">
      <c r="R178" s="87" t="s">
        <v>654</v>
      </c>
      <c r="V178" s="55"/>
      <c r="W178" s="56"/>
      <c r="X178" s="57"/>
      <c r="Z178" s="28"/>
    </row>
    <row r="179" customFormat="false" ht="15" hidden="false" customHeight="false" outlineLevel="0" collapsed="false">
      <c r="R179" s="1" t="s">
        <v>307</v>
      </c>
      <c r="V179" s="55" t="s">
        <v>308</v>
      </c>
      <c r="X179" s="57" t="n">
        <v>0.19</v>
      </c>
      <c r="Y179" s="28" t="n">
        <v>24.52</v>
      </c>
      <c r="Z179" s="28" t="n">
        <f aca="false">X179*Y179</f>
        <v>4.6588</v>
      </c>
    </row>
    <row r="180" customFormat="false" ht="15" hidden="false" customHeight="false" outlineLevel="0" collapsed="false">
      <c r="R180" s="1" t="s">
        <v>656</v>
      </c>
      <c r="V180" s="55" t="s">
        <v>204</v>
      </c>
      <c r="X180" s="57" t="n">
        <v>0.0081</v>
      </c>
      <c r="Y180" s="1" t="n">
        <v>6.14</v>
      </c>
      <c r="Z180" s="28" t="n">
        <f aca="false">X180*Y180</f>
        <v>0.049734</v>
      </c>
    </row>
    <row r="181" customFormat="false" ht="15" hidden="false" customHeight="false" outlineLevel="0" collapsed="false">
      <c r="R181" s="1" t="s">
        <v>666</v>
      </c>
      <c r="V181" s="55" t="s">
        <v>440</v>
      </c>
      <c r="X181" s="57" t="n">
        <v>0.006</v>
      </c>
      <c r="Y181" s="1" t="n">
        <v>13.93</v>
      </c>
      <c r="Z181" s="28" t="n">
        <f aca="false">X181*Y181</f>
        <v>0.08358</v>
      </c>
    </row>
    <row r="182" customFormat="false" ht="15" hidden="false" customHeight="false" outlineLevel="0" collapsed="false">
      <c r="R182" s="1" t="s">
        <v>303</v>
      </c>
      <c r="V182" s="55" t="s">
        <v>204</v>
      </c>
      <c r="X182" s="57" t="n">
        <v>0.065</v>
      </c>
      <c r="Y182" s="88" t="n">
        <v>70.92</v>
      </c>
      <c r="Z182" s="28" t="n">
        <f aca="false">X182*Y182</f>
        <v>4.6098</v>
      </c>
    </row>
    <row r="183" customFormat="false" ht="15" hidden="false" customHeight="false" outlineLevel="0" collapsed="false">
      <c r="V183" s="55"/>
      <c r="X183" s="57"/>
      <c r="Y183" s="28"/>
      <c r="Z183" s="86" t="n">
        <f aca="false">SUM(Z179:Z182)</f>
        <v>9.401914</v>
      </c>
    </row>
    <row r="184" customFormat="false" ht="15" hidden="false" customHeight="false" outlineLevel="0" collapsed="false">
      <c r="R184" s="87" t="s">
        <v>310</v>
      </c>
    </row>
    <row r="185" customFormat="false" ht="15" hidden="false" customHeight="false" outlineLevel="0" collapsed="false">
      <c r="R185" s="1" t="s">
        <v>311</v>
      </c>
      <c r="V185" s="55" t="s">
        <v>312</v>
      </c>
      <c r="X185" s="57" t="n">
        <v>3</v>
      </c>
      <c r="Y185" s="28" t="n">
        <f aca="false">Z177</f>
        <v>15.5493333333333</v>
      </c>
      <c r="Z185" s="28" t="n">
        <f aca="false">X185%*Y185</f>
        <v>0.46648</v>
      </c>
    </row>
    <row r="186" customFormat="false" ht="15" hidden="false" customHeight="false" outlineLevel="0" collapsed="false">
      <c r="R186" s="1" t="s">
        <v>668</v>
      </c>
      <c r="V186" s="55" t="s">
        <v>338</v>
      </c>
      <c r="W186" s="56" t="n">
        <v>1</v>
      </c>
      <c r="X186" s="57" t="n">
        <f aca="false">W186*8/$T$171</f>
        <v>0.0666666666666667</v>
      </c>
      <c r="Y186" s="28" t="n">
        <v>25.63</v>
      </c>
      <c r="Z186" s="28" t="n">
        <f aca="false">X186*Y186</f>
        <v>1.70866666666667</v>
      </c>
    </row>
    <row r="187" customFormat="false" ht="15" hidden="false" customHeight="false" outlineLevel="0" collapsed="false">
      <c r="Q187" s="60"/>
      <c r="R187" s="60"/>
      <c r="S187" s="60"/>
      <c r="T187" s="60"/>
      <c r="U187" s="60"/>
      <c r="V187" s="60"/>
      <c r="W187" s="60"/>
      <c r="X187" s="60"/>
      <c r="Y187" s="60"/>
      <c r="Z187" s="89" t="n">
        <f aca="false">SUM(Z185:Z186)</f>
        <v>2.17514666666667</v>
      </c>
    </row>
    <row r="189" customFormat="false" ht="15" hidden="false" customHeight="false" outlineLevel="0" collapsed="false">
      <c r="Q189" s="82" t="s">
        <v>278</v>
      </c>
      <c r="R189" s="82"/>
      <c r="S189" s="82" t="s">
        <v>497</v>
      </c>
      <c r="T189" s="82"/>
    </row>
    <row r="190" customFormat="false" ht="15" hidden="false" customHeight="false" outlineLevel="0" collapsed="false">
      <c r="Q190" s="82" t="s">
        <v>279</v>
      </c>
      <c r="R190" s="82" t="s">
        <v>417</v>
      </c>
      <c r="S190" s="84" t="s">
        <v>281</v>
      </c>
      <c r="T190" s="85" t="n">
        <v>25</v>
      </c>
      <c r="U190" s="84" t="s">
        <v>282</v>
      </c>
      <c r="V190" s="85" t="n">
        <f aca="false">T190</f>
        <v>25</v>
      </c>
      <c r="W190" s="82" t="s">
        <v>283</v>
      </c>
      <c r="Y190" s="84" t="s">
        <v>204</v>
      </c>
      <c r="Z190" s="86" t="n">
        <f aca="false">Z196+Z204+Z209</f>
        <v>426.397544</v>
      </c>
    </row>
    <row r="191" customFormat="false" ht="15" hidden="false" customHeight="false" outlineLevel="0" collapsed="false">
      <c r="Q191" s="82" t="s">
        <v>284</v>
      </c>
      <c r="R191" s="82" t="s">
        <v>285</v>
      </c>
      <c r="V191" s="84" t="s">
        <v>123</v>
      </c>
      <c r="W191" s="84" t="s">
        <v>286</v>
      </c>
      <c r="X191" s="84" t="s">
        <v>287</v>
      </c>
      <c r="Y191" s="84" t="s">
        <v>288</v>
      </c>
      <c r="Z191" s="84" t="s">
        <v>289</v>
      </c>
    </row>
    <row r="192" customFormat="false" ht="15" hidden="false" customHeight="false" outlineLevel="0" collapsed="false">
      <c r="R192" s="87" t="s">
        <v>290</v>
      </c>
    </row>
    <row r="193" customFormat="false" ht="15" hidden="false" customHeight="false" outlineLevel="0" collapsed="false">
      <c r="R193" s="1" t="s">
        <v>291</v>
      </c>
      <c r="V193" s="55" t="s">
        <v>292</v>
      </c>
      <c r="W193" s="56" t="n">
        <v>2</v>
      </c>
      <c r="X193" s="57" t="n">
        <f aca="false">W193*8/$T$190</f>
        <v>0.64</v>
      </c>
      <c r="Y193" s="28" t="n">
        <v>28.94</v>
      </c>
      <c r="Z193" s="28" t="n">
        <f aca="false">X193*Y193</f>
        <v>18.5216</v>
      </c>
    </row>
    <row r="194" customFormat="false" ht="15" hidden="false" customHeight="false" outlineLevel="0" collapsed="false">
      <c r="R194" s="1" t="s">
        <v>293</v>
      </c>
      <c r="V194" s="55" t="s">
        <v>292</v>
      </c>
      <c r="W194" s="56" t="n">
        <v>2</v>
      </c>
      <c r="X194" s="57" t="n">
        <f aca="false">W194*8/$T$190</f>
        <v>0.64</v>
      </c>
      <c r="Y194" s="28" t="n">
        <v>23.6</v>
      </c>
      <c r="Z194" s="28" t="n">
        <f aca="false">X194*Y194</f>
        <v>15.104</v>
      </c>
    </row>
    <row r="195" customFormat="false" ht="15" hidden="false" customHeight="false" outlineLevel="0" collapsed="false">
      <c r="R195" s="1" t="s">
        <v>294</v>
      </c>
      <c r="V195" s="55" t="s">
        <v>292</v>
      </c>
      <c r="W195" s="56" t="n">
        <v>6</v>
      </c>
      <c r="X195" s="57" t="n">
        <f aca="false">W195*8/$T$190</f>
        <v>1.92</v>
      </c>
      <c r="Y195" s="28" t="n">
        <v>21.36</v>
      </c>
      <c r="Z195" s="28" t="n">
        <f aca="false">X195*Y195</f>
        <v>41.0112</v>
      </c>
    </row>
    <row r="196" customFormat="false" ht="15" hidden="false" customHeight="false" outlineLevel="0" collapsed="false">
      <c r="V196" s="55"/>
      <c r="W196" s="56"/>
      <c r="X196" s="57"/>
      <c r="Z196" s="86" t="n">
        <f aca="false">SUM(Z193:Z195)</f>
        <v>74.6368</v>
      </c>
    </row>
    <row r="197" customFormat="false" ht="15" hidden="false" customHeight="false" outlineLevel="0" collapsed="false">
      <c r="R197" s="87" t="s">
        <v>654</v>
      </c>
      <c r="V197" s="55"/>
      <c r="W197" s="56"/>
      <c r="X197" s="57"/>
      <c r="Z197" s="28"/>
    </row>
    <row r="198" customFormat="false" ht="15" hidden="false" customHeight="false" outlineLevel="0" collapsed="false">
      <c r="R198" s="1" t="s">
        <v>673</v>
      </c>
      <c r="V198" s="55" t="s">
        <v>204</v>
      </c>
      <c r="X198" s="57" t="n">
        <v>0.53</v>
      </c>
      <c r="Y198" s="28" t="n">
        <v>55.08</v>
      </c>
      <c r="Z198" s="28" t="n">
        <f aca="false">X198*Y198</f>
        <v>29.1924</v>
      </c>
    </row>
    <row r="199" customFormat="false" ht="15" hidden="false" customHeight="false" outlineLevel="0" collapsed="false">
      <c r="R199" s="1" t="s">
        <v>674</v>
      </c>
      <c r="V199" s="55" t="s">
        <v>204</v>
      </c>
      <c r="X199" s="57" t="n">
        <v>0.52</v>
      </c>
      <c r="Y199" s="28" t="n">
        <v>47</v>
      </c>
      <c r="Z199" s="28" t="n">
        <f aca="false">X199*Y199</f>
        <v>24.44</v>
      </c>
    </row>
    <row r="200" customFormat="false" ht="15" hidden="false" customHeight="false" outlineLevel="0" collapsed="false">
      <c r="R200" s="1" t="s">
        <v>307</v>
      </c>
      <c r="V200" s="55" t="s">
        <v>308</v>
      </c>
      <c r="X200" s="57" t="n">
        <v>9.73</v>
      </c>
      <c r="Y200" s="28" t="n">
        <v>24.52</v>
      </c>
      <c r="Z200" s="28" t="n">
        <f aca="false">X200*Y200</f>
        <v>238.5796</v>
      </c>
    </row>
    <row r="201" customFormat="false" ht="15" hidden="false" customHeight="false" outlineLevel="0" collapsed="false">
      <c r="R201" s="1" t="s">
        <v>656</v>
      </c>
      <c r="V201" s="55" t="s">
        <v>204</v>
      </c>
      <c r="X201" s="57" t="n">
        <v>0.186</v>
      </c>
      <c r="Y201" s="1" t="n">
        <v>6.14</v>
      </c>
      <c r="Z201" s="28" t="n">
        <f aca="false">X201*Y201</f>
        <v>1.14204</v>
      </c>
    </row>
    <row r="202" customFormat="false" ht="15" hidden="false" customHeight="false" outlineLevel="0" collapsed="false">
      <c r="R202" s="1" t="s">
        <v>666</v>
      </c>
      <c r="V202" s="55" t="s">
        <v>440</v>
      </c>
      <c r="X202" s="57" t="n">
        <v>0.36</v>
      </c>
      <c r="Y202" s="1" t="n">
        <v>13.93</v>
      </c>
      <c r="Z202" s="28" t="n">
        <f aca="false">X202*Y202</f>
        <v>5.0148</v>
      </c>
    </row>
    <row r="203" customFormat="false" ht="15" hidden="false" customHeight="false" outlineLevel="0" collapsed="false">
      <c r="R203" s="1" t="s">
        <v>675</v>
      </c>
      <c r="V203" s="55" t="s">
        <v>440</v>
      </c>
      <c r="X203" s="57" t="n">
        <v>1.5</v>
      </c>
      <c r="Y203" s="88" t="n">
        <v>27.88</v>
      </c>
      <c r="Z203" s="28" t="n">
        <f aca="false">X203*Y203</f>
        <v>41.82</v>
      </c>
    </row>
    <row r="204" customFormat="false" ht="15" hidden="false" customHeight="false" outlineLevel="0" collapsed="false">
      <c r="V204" s="55"/>
      <c r="X204" s="57"/>
      <c r="Y204" s="28"/>
      <c r="Z204" s="86" t="n">
        <f aca="false">SUM(Z198:Z203)</f>
        <v>340.18884</v>
      </c>
    </row>
    <row r="205" customFormat="false" ht="15" hidden="false" customHeight="false" outlineLevel="0" collapsed="false">
      <c r="R205" s="87" t="s">
        <v>310</v>
      </c>
    </row>
    <row r="206" customFormat="false" ht="15" hidden="false" customHeight="false" outlineLevel="0" collapsed="false">
      <c r="R206" s="1" t="s">
        <v>311</v>
      </c>
      <c r="V206" s="55" t="s">
        <v>312</v>
      </c>
      <c r="X206" s="57" t="n">
        <v>3</v>
      </c>
      <c r="Y206" s="28" t="n">
        <f aca="false">Z196</f>
        <v>74.6368</v>
      </c>
      <c r="Z206" s="28" t="n">
        <f aca="false">X206%*Y206</f>
        <v>2.239104</v>
      </c>
    </row>
    <row r="207" customFormat="false" ht="15" hidden="false" customHeight="false" outlineLevel="0" collapsed="false">
      <c r="R207" s="1" t="s">
        <v>668</v>
      </c>
      <c r="V207" s="55" t="s">
        <v>338</v>
      </c>
      <c r="W207" s="56" t="n">
        <v>1</v>
      </c>
      <c r="X207" s="57" t="n">
        <f aca="false">W207*8/$T$190</f>
        <v>0.32</v>
      </c>
      <c r="Y207" s="28" t="n">
        <v>25.63</v>
      </c>
      <c r="Z207" s="28" t="n">
        <f aca="false">X207*Y207</f>
        <v>8.2016</v>
      </c>
    </row>
    <row r="208" customFormat="false" ht="15" hidden="false" customHeight="false" outlineLevel="0" collapsed="false">
      <c r="R208" s="1" t="s">
        <v>676</v>
      </c>
      <c r="V208" s="55" t="s">
        <v>338</v>
      </c>
      <c r="W208" s="56" t="n">
        <v>0.5</v>
      </c>
      <c r="X208" s="57" t="n">
        <f aca="false">W208*8/$T$190</f>
        <v>0.16</v>
      </c>
      <c r="Y208" s="28" t="n">
        <v>7.07</v>
      </c>
      <c r="Z208" s="28" t="n">
        <f aca="false">X208*Y208</f>
        <v>1.1312</v>
      </c>
    </row>
    <row r="209" customFormat="false" ht="15" hidden="false" customHeight="false" outlineLevel="0" collapsed="false">
      <c r="Q209" s="60"/>
      <c r="R209" s="60"/>
      <c r="S209" s="60"/>
      <c r="T209" s="60"/>
      <c r="U209" s="60"/>
      <c r="V209" s="60"/>
      <c r="W209" s="60"/>
      <c r="X209" s="60"/>
      <c r="Y209" s="60"/>
      <c r="Z209" s="89" t="n">
        <f aca="false">SUM(Z206:Z208)</f>
        <v>11.571904</v>
      </c>
    </row>
    <row r="211" customFormat="false" ht="15" hidden="false" customHeight="false" outlineLevel="0" collapsed="false">
      <c r="Q211" s="82" t="s">
        <v>278</v>
      </c>
      <c r="R211" s="82"/>
      <c r="S211" s="82" t="s">
        <v>677</v>
      </c>
      <c r="T211" s="82"/>
    </row>
    <row r="212" customFormat="false" ht="15" hidden="false" customHeight="false" outlineLevel="0" collapsed="false">
      <c r="Q212" s="82" t="s">
        <v>279</v>
      </c>
      <c r="R212" s="82" t="s">
        <v>280</v>
      </c>
      <c r="S212" s="84" t="s">
        <v>281</v>
      </c>
      <c r="T212" s="85" t="n">
        <v>8</v>
      </c>
      <c r="U212" s="84" t="s">
        <v>282</v>
      </c>
      <c r="V212" s="85" t="n">
        <f aca="false">T212</f>
        <v>8</v>
      </c>
      <c r="W212" s="82" t="s">
        <v>283</v>
      </c>
      <c r="Y212" s="84" t="s">
        <v>134</v>
      </c>
      <c r="Z212" s="86" t="n">
        <f aca="false">Z217+Z222+Z225</f>
        <v>75.1142</v>
      </c>
    </row>
    <row r="213" customFormat="false" ht="15" hidden="false" customHeight="false" outlineLevel="0" collapsed="false">
      <c r="Q213" s="82" t="s">
        <v>284</v>
      </c>
      <c r="R213" s="82" t="s">
        <v>285</v>
      </c>
      <c r="V213" s="84" t="s">
        <v>123</v>
      </c>
      <c r="W213" s="84" t="s">
        <v>286</v>
      </c>
      <c r="X213" s="84" t="s">
        <v>287</v>
      </c>
      <c r="Y213" s="84" t="s">
        <v>288</v>
      </c>
      <c r="Z213" s="84" t="s">
        <v>289</v>
      </c>
    </row>
    <row r="214" customFormat="false" ht="15" hidden="false" customHeight="false" outlineLevel="0" collapsed="false">
      <c r="R214" s="87" t="s">
        <v>290</v>
      </c>
    </row>
    <row r="215" customFormat="false" ht="15" hidden="false" customHeight="false" outlineLevel="0" collapsed="false">
      <c r="R215" s="1" t="s">
        <v>291</v>
      </c>
      <c r="V215" s="55" t="s">
        <v>292</v>
      </c>
      <c r="W215" s="56" t="n">
        <v>1</v>
      </c>
      <c r="X215" s="57" t="n">
        <f aca="false">W215*8/$T$212</f>
        <v>1</v>
      </c>
      <c r="Y215" s="28" t="n">
        <v>28.94</v>
      </c>
      <c r="Z215" s="28" t="n">
        <f aca="false">X215*Y215</f>
        <v>28.94</v>
      </c>
    </row>
    <row r="216" customFormat="false" ht="15" hidden="false" customHeight="false" outlineLevel="0" collapsed="false">
      <c r="R216" s="1" t="s">
        <v>293</v>
      </c>
      <c r="V216" s="55" t="s">
        <v>292</v>
      </c>
      <c r="W216" s="56" t="n">
        <v>1</v>
      </c>
      <c r="X216" s="57" t="n">
        <f aca="false">W216*8/$T$212</f>
        <v>1</v>
      </c>
      <c r="Y216" s="28" t="n">
        <v>23.6</v>
      </c>
      <c r="Z216" s="28" t="n">
        <f aca="false">X216*Y216</f>
        <v>23.6</v>
      </c>
    </row>
    <row r="217" customFormat="false" ht="15" hidden="false" customHeight="false" outlineLevel="0" collapsed="false">
      <c r="V217" s="55"/>
      <c r="W217" s="56"/>
      <c r="X217" s="57"/>
      <c r="Z217" s="86" t="n">
        <f aca="false">SUM(Z215:Z216)</f>
        <v>52.54</v>
      </c>
    </row>
    <row r="218" customFormat="false" ht="15" hidden="false" customHeight="false" outlineLevel="0" collapsed="false">
      <c r="R218" s="87" t="s">
        <v>654</v>
      </c>
      <c r="V218" s="55"/>
      <c r="W218" s="56"/>
      <c r="X218" s="57"/>
      <c r="Z218" s="28"/>
    </row>
    <row r="219" customFormat="false" ht="15" hidden="false" customHeight="false" outlineLevel="0" collapsed="false">
      <c r="R219" s="1" t="s">
        <v>678</v>
      </c>
      <c r="V219" s="55" t="s">
        <v>297</v>
      </c>
      <c r="X219" s="57" t="n">
        <v>0.26</v>
      </c>
      <c r="Y219" s="28" t="n">
        <v>2.64</v>
      </c>
      <c r="Z219" s="28" t="n">
        <f aca="false">X219*Y219</f>
        <v>0.6864</v>
      </c>
    </row>
    <row r="220" customFormat="false" ht="15" hidden="false" customHeight="false" outlineLevel="0" collapsed="false">
      <c r="R220" s="1" t="s">
        <v>302</v>
      </c>
      <c r="V220" s="55" t="s">
        <v>297</v>
      </c>
      <c r="X220" s="57" t="n">
        <v>0.16</v>
      </c>
      <c r="Y220" s="28" t="n">
        <v>5.51</v>
      </c>
      <c r="Z220" s="28" t="n">
        <f aca="false">X220*Y220</f>
        <v>0.8816</v>
      </c>
    </row>
    <row r="221" customFormat="false" ht="15" hidden="false" customHeight="false" outlineLevel="0" collapsed="false">
      <c r="R221" s="1" t="s">
        <v>670</v>
      </c>
      <c r="V221" s="55" t="s">
        <v>306</v>
      </c>
      <c r="X221" s="57" t="n">
        <v>3.35</v>
      </c>
      <c r="Y221" s="28" t="n">
        <v>5.8</v>
      </c>
      <c r="Z221" s="28" t="n">
        <f aca="false">X221*Y221</f>
        <v>19.43</v>
      </c>
    </row>
    <row r="222" customFormat="false" ht="15" hidden="false" customHeight="false" outlineLevel="0" collapsed="false">
      <c r="V222" s="55"/>
      <c r="X222" s="57"/>
      <c r="Y222" s="28"/>
      <c r="Z222" s="86" t="n">
        <f aca="false">SUM(Z219:Z221)</f>
        <v>20.998</v>
      </c>
    </row>
    <row r="223" customFormat="false" ht="15" hidden="false" customHeight="false" outlineLevel="0" collapsed="false">
      <c r="R223" s="87" t="s">
        <v>310</v>
      </c>
    </row>
    <row r="224" customFormat="false" ht="15" hidden="false" customHeight="false" outlineLevel="0" collapsed="false">
      <c r="R224" s="1" t="s">
        <v>311</v>
      </c>
      <c r="V224" s="55" t="s">
        <v>312</v>
      </c>
      <c r="X224" s="57" t="n">
        <v>3</v>
      </c>
      <c r="Y224" s="28" t="n">
        <f aca="false">Z217</f>
        <v>52.54</v>
      </c>
      <c r="Z224" s="28" t="n">
        <f aca="false">X224%*Y224</f>
        <v>1.5762</v>
      </c>
    </row>
    <row r="225" customFormat="false" ht="15" hidden="false" customHeight="false" outlineLevel="0" collapsed="false">
      <c r="Q225" s="60"/>
      <c r="R225" s="60"/>
      <c r="S225" s="60"/>
      <c r="T225" s="60"/>
      <c r="U225" s="60"/>
      <c r="V225" s="60"/>
      <c r="W225" s="60"/>
      <c r="X225" s="60"/>
      <c r="Y225" s="60"/>
      <c r="Z225" s="89" t="n">
        <f aca="false">SUM(Z224)</f>
        <v>1.5762</v>
      </c>
    </row>
    <row r="228" customFormat="false" ht="15" hidden="false" customHeight="false" outlineLevel="0" collapsed="false">
      <c r="Q228" s="82" t="s">
        <v>278</v>
      </c>
      <c r="R228" s="82"/>
      <c r="S228" s="82" t="s">
        <v>499</v>
      </c>
      <c r="T228" s="82"/>
    </row>
    <row r="229" customFormat="false" ht="15" hidden="false" customHeight="false" outlineLevel="0" collapsed="false">
      <c r="Q229" s="82" t="s">
        <v>279</v>
      </c>
      <c r="R229" s="82" t="s">
        <v>679</v>
      </c>
      <c r="S229" s="84" t="s">
        <v>281</v>
      </c>
      <c r="T229" s="85" t="n">
        <v>250</v>
      </c>
      <c r="U229" s="84" t="s">
        <v>282</v>
      </c>
      <c r="V229" s="85" t="n">
        <f aca="false">T229</f>
        <v>250</v>
      </c>
      <c r="W229" s="82" t="s">
        <v>283</v>
      </c>
      <c r="Y229" s="84" t="s">
        <v>297</v>
      </c>
      <c r="Z229" s="86" t="n">
        <f aca="false">Z234+Z238+Z242</f>
        <v>5.5639628445</v>
      </c>
    </row>
    <row r="230" customFormat="false" ht="15" hidden="false" customHeight="false" outlineLevel="0" collapsed="false">
      <c r="Q230" s="82" t="s">
        <v>284</v>
      </c>
      <c r="R230" s="82" t="s">
        <v>285</v>
      </c>
      <c r="V230" s="84" t="s">
        <v>123</v>
      </c>
      <c r="W230" s="84" t="s">
        <v>286</v>
      </c>
      <c r="X230" s="84" t="s">
        <v>287</v>
      </c>
      <c r="Y230" s="84" t="s">
        <v>288</v>
      </c>
      <c r="Z230" s="84" t="s">
        <v>289</v>
      </c>
    </row>
    <row r="231" customFormat="false" ht="15" hidden="false" customHeight="false" outlineLevel="0" collapsed="false">
      <c r="R231" s="87" t="s">
        <v>290</v>
      </c>
      <c r="W231" s="56"/>
    </row>
    <row r="232" customFormat="false" ht="15" hidden="false" customHeight="false" outlineLevel="0" collapsed="false">
      <c r="R232" s="1" t="s">
        <v>291</v>
      </c>
      <c r="V232" s="55" t="s">
        <v>292</v>
      </c>
      <c r="W232" s="56" t="n">
        <v>1</v>
      </c>
      <c r="X232" s="99" t="n">
        <f aca="false">W232*8/$T$229</f>
        <v>0.032</v>
      </c>
      <c r="Y232" s="28" t="n">
        <v>28.94</v>
      </c>
      <c r="Z232" s="28" t="n">
        <f aca="false">X232*Y232</f>
        <v>0.92608</v>
      </c>
    </row>
    <row r="233" customFormat="false" ht="15" hidden="false" customHeight="false" outlineLevel="0" collapsed="false">
      <c r="R233" s="1" t="s">
        <v>680</v>
      </c>
      <c r="V233" s="55" t="s">
        <v>292</v>
      </c>
      <c r="W233" s="56" t="n">
        <v>1</v>
      </c>
      <c r="X233" s="99" t="n">
        <f aca="false">W233*8/$T$229</f>
        <v>0.032</v>
      </c>
      <c r="Y233" s="28" t="n">
        <v>23.6</v>
      </c>
      <c r="Z233" s="28" t="n">
        <f aca="false">X233*Y233</f>
        <v>0.7552</v>
      </c>
    </row>
    <row r="234" customFormat="false" ht="15" hidden="false" customHeight="false" outlineLevel="0" collapsed="false">
      <c r="V234" s="55"/>
      <c r="W234" s="56"/>
      <c r="Z234" s="86" t="n">
        <f aca="false">SUM(Z232:Z233)</f>
        <v>1.68128</v>
      </c>
    </row>
    <row r="235" customFormat="false" ht="15" hidden="false" customHeight="false" outlineLevel="0" collapsed="false">
      <c r="R235" s="87" t="s">
        <v>295</v>
      </c>
      <c r="V235" s="55"/>
      <c r="W235" s="56"/>
      <c r="X235" s="99"/>
    </row>
    <row r="236" customFormat="false" ht="15" hidden="false" customHeight="false" outlineLevel="0" collapsed="false">
      <c r="R236" s="1" t="s">
        <v>296</v>
      </c>
      <c r="V236" s="55" t="s">
        <v>297</v>
      </c>
      <c r="W236" s="56"/>
      <c r="X236" s="99" t="n">
        <v>0.03</v>
      </c>
      <c r="Y236" s="28" t="n">
        <v>2.64</v>
      </c>
      <c r="Z236" s="28" t="n">
        <f aca="false">X236*Y236</f>
        <v>0.0792</v>
      </c>
    </row>
    <row r="237" customFormat="false" ht="15" hidden="false" customHeight="false" outlineLevel="0" collapsed="false">
      <c r="R237" s="1" t="s">
        <v>681</v>
      </c>
      <c r="V237" s="55" t="s">
        <v>297</v>
      </c>
      <c r="W237" s="56"/>
      <c r="X237" s="99" t="n">
        <v>1.05</v>
      </c>
      <c r="Y237" s="28" t="n">
        <f aca="false">1012.71*3.379/1000</f>
        <v>3.42194709</v>
      </c>
      <c r="Z237" s="28" t="n">
        <f aca="false">X237*Y237</f>
        <v>3.5930444445</v>
      </c>
    </row>
    <row r="238" customFormat="false" ht="15" hidden="false" customHeight="false" outlineLevel="0" collapsed="false">
      <c r="V238" s="55"/>
      <c r="W238" s="56"/>
      <c r="Z238" s="86" t="n">
        <f aca="false">SUM(Z236:Z237)</f>
        <v>3.6722444445</v>
      </c>
    </row>
    <row r="239" customFormat="false" ht="15" hidden="false" customHeight="false" outlineLevel="0" collapsed="false">
      <c r="R239" s="87" t="s">
        <v>318</v>
      </c>
      <c r="V239" s="55"/>
      <c r="W239" s="56"/>
    </row>
    <row r="240" customFormat="false" ht="15" hidden="false" customHeight="false" outlineLevel="0" collapsed="false">
      <c r="R240" s="1" t="s">
        <v>311</v>
      </c>
      <c r="V240" s="55" t="s">
        <v>312</v>
      </c>
      <c r="X240" s="57" t="n">
        <v>3</v>
      </c>
      <c r="Y240" s="28" t="n">
        <f aca="false">Z234</f>
        <v>1.68128</v>
      </c>
      <c r="Z240" s="28" t="n">
        <f aca="false">X240%*Y240</f>
        <v>0.0504384</v>
      </c>
    </row>
    <row r="241" customFormat="false" ht="15" hidden="false" customHeight="false" outlineLevel="0" collapsed="false">
      <c r="R241" s="1" t="s">
        <v>682</v>
      </c>
      <c r="V241" s="55" t="s">
        <v>292</v>
      </c>
      <c r="W241" s="56" t="n">
        <v>1</v>
      </c>
      <c r="X241" s="99" t="n">
        <f aca="false">W241*8/$T$229</f>
        <v>0.032</v>
      </c>
      <c r="Y241" s="46" t="n">
        <v>5</v>
      </c>
      <c r="Z241" s="28" t="n">
        <f aca="false">X241*Y241</f>
        <v>0.16</v>
      </c>
    </row>
    <row r="242" customFormat="false" ht="15" hidden="false" customHeight="false" outlineLevel="0" collapsed="false">
      <c r="Q242" s="60"/>
      <c r="R242" s="60"/>
      <c r="S242" s="60"/>
      <c r="T242" s="60"/>
      <c r="U242" s="60"/>
      <c r="V242" s="60"/>
      <c r="W242" s="60"/>
      <c r="X242" s="60"/>
      <c r="Y242" s="60"/>
      <c r="Z242" s="89" t="n">
        <f aca="false">SUM(Z240:Z241)</f>
        <v>0.2104384</v>
      </c>
    </row>
    <row r="244" customFormat="false" ht="15" hidden="false" customHeight="false" outlineLevel="0" collapsed="false">
      <c r="Q244" s="82" t="s">
        <v>278</v>
      </c>
      <c r="R244" s="82"/>
      <c r="S244" s="82" t="s">
        <v>511</v>
      </c>
      <c r="T244" s="82"/>
    </row>
    <row r="245" customFormat="false" ht="15" hidden="false" customHeight="false" outlineLevel="0" collapsed="false">
      <c r="Q245" s="82" t="s">
        <v>279</v>
      </c>
      <c r="R245" s="82" t="s">
        <v>417</v>
      </c>
      <c r="S245" s="84" t="s">
        <v>281</v>
      </c>
      <c r="T245" s="85" t="n">
        <v>20</v>
      </c>
      <c r="U245" s="84" t="s">
        <v>282</v>
      </c>
      <c r="V245" s="85" t="n">
        <f aca="false">T245</f>
        <v>20</v>
      </c>
      <c r="W245" s="82" t="s">
        <v>283</v>
      </c>
      <c r="Y245" s="84" t="s">
        <v>204</v>
      </c>
      <c r="Z245" s="86" t="n">
        <f aca="false">Z251+Z259+Z264</f>
        <v>438.22652</v>
      </c>
    </row>
    <row r="246" customFormat="false" ht="15" hidden="false" customHeight="false" outlineLevel="0" collapsed="false">
      <c r="Q246" s="82" t="s">
        <v>284</v>
      </c>
      <c r="R246" s="82" t="s">
        <v>285</v>
      </c>
      <c r="V246" s="84" t="s">
        <v>123</v>
      </c>
      <c r="W246" s="84" t="s">
        <v>286</v>
      </c>
      <c r="X246" s="84" t="s">
        <v>287</v>
      </c>
      <c r="Y246" s="84" t="s">
        <v>288</v>
      </c>
      <c r="Z246" s="84" t="s">
        <v>289</v>
      </c>
    </row>
    <row r="247" customFormat="false" ht="15" hidden="false" customHeight="false" outlineLevel="0" collapsed="false">
      <c r="R247" s="87" t="s">
        <v>290</v>
      </c>
    </row>
    <row r="248" customFormat="false" ht="15" hidden="false" customHeight="false" outlineLevel="0" collapsed="false">
      <c r="R248" s="1" t="s">
        <v>291</v>
      </c>
      <c r="V248" s="55" t="s">
        <v>292</v>
      </c>
      <c r="W248" s="56" t="n">
        <v>2</v>
      </c>
      <c r="X248" s="57" t="n">
        <f aca="false">W248*8/$T$245</f>
        <v>0.8</v>
      </c>
      <c r="Y248" s="28" t="n">
        <v>28.94</v>
      </c>
      <c r="Z248" s="28" t="n">
        <f aca="false">X248*Y248</f>
        <v>23.152</v>
      </c>
    </row>
    <row r="249" customFormat="false" ht="15" hidden="false" customHeight="false" outlineLevel="0" collapsed="false">
      <c r="R249" s="1" t="s">
        <v>293</v>
      </c>
      <c r="V249" s="55" t="s">
        <v>292</v>
      </c>
      <c r="W249" s="56" t="n">
        <v>1</v>
      </c>
      <c r="X249" s="57" t="n">
        <f aca="false">W249*8/$T$245</f>
        <v>0.4</v>
      </c>
      <c r="Y249" s="28" t="n">
        <v>23.6</v>
      </c>
      <c r="Z249" s="28" t="n">
        <f aca="false">X249*Y249</f>
        <v>9.44</v>
      </c>
    </row>
    <row r="250" customFormat="false" ht="15" hidden="false" customHeight="false" outlineLevel="0" collapsed="false">
      <c r="R250" s="1" t="s">
        <v>294</v>
      </c>
      <c r="V250" s="55" t="s">
        <v>292</v>
      </c>
      <c r="W250" s="56" t="n">
        <v>6</v>
      </c>
      <c r="X250" s="57" t="n">
        <f aca="false">W250*8/$T$245</f>
        <v>2.4</v>
      </c>
      <c r="Y250" s="28" t="n">
        <v>21.36</v>
      </c>
      <c r="Z250" s="28" t="n">
        <f aca="false">X250*Y250</f>
        <v>51.264</v>
      </c>
    </row>
    <row r="251" customFormat="false" ht="15" hidden="false" customHeight="false" outlineLevel="0" collapsed="false">
      <c r="V251" s="55"/>
      <c r="W251" s="56"/>
      <c r="X251" s="57"/>
      <c r="Z251" s="86" t="n">
        <f aca="false">SUM(Z248:Z250)</f>
        <v>83.856</v>
      </c>
    </row>
    <row r="252" customFormat="false" ht="15" hidden="false" customHeight="false" outlineLevel="0" collapsed="false">
      <c r="R252" s="87" t="s">
        <v>654</v>
      </c>
      <c r="V252" s="55"/>
      <c r="W252" s="56"/>
      <c r="X252" s="57"/>
      <c r="Z252" s="28"/>
    </row>
    <row r="253" customFormat="false" ht="15" hidden="false" customHeight="false" outlineLevel="0" collapsed="false">
      <c r="R253" s="1" t="s">
        <v>673</v>
      </c>
      <c r="V253" s="55" t="s">
        <v>204</v>
      </c>
      <c r="X253" s="57" t="n">
        <v>0.53</v>
      </c>
      <c r="Y253" s="28" t="n">
        <v>55.08</v>
      </c>
      <c r="Z253" s="28" t="n">
        <f aca="false">X253*Y253</f>
        <v>29.1924</v>
      </c>
    </row>
    <row r="254" customFormat="false" ht="15" hidden="false" customHeight="false" outlineLevel="0" collapsed="false">
      <c r="R254" s="1" t="s">
        <v>674</v>
      </c>
      <c r="V254" s="55" t="s">
        <v>204</v>
      </c>
      <c r="X254" s="57" t="n">
        <v>0.52</v>
      </c>
      <c r="Y254" s="28" t="n">
        <v>47</v>
      </c>
      <c r="Z254" s="28" t="n">
        <f aca="false">X254*Y254</f>
        <v>24.44</v>
      </c>
    </row>
    <row r="255" customFormat="false" ht="15" hidden="false" customHeight="false" outlineLevel="0" collapsed="false">
      <c r="R255" s="1" t="s">
        <v>307</v>
      </c>
      <c r="V255" s="55" t="s">
        <v>308</v>
      </c>
      <c r="X255" s="57" t="n">
        <v>9.73</v>
      </c>
      <c r="Y255" s="28" t="n">
        <v>24.52</v>
      </c>
      <c r="Z255" s="28" t="n">
        <f aca="false">X255*Y255</f>
        <v>238.5796</v>
      </c>
    </row>
    <row r="256" customFormat="false" ht="15" hidden="false" customHeight="false" outlineLevel="0" collapsed="false">
      <c r="R256" s="1" t="s">
        <v>656</v>
      </c>
      <c r="V256" s="55" t="s">
        <v>204</v>
      </c>
      <c r="X256" s="57" t="n">
        <v>0.186</v>
      </c>
      <c r="Y256" s="1" t="n">
        <v>6.14</v>
      </c>
      <c r="Z256" s="28" t="n">
        <f aca="false">X256*Y256</f>
        <v>1.14204</v>
      </c>
    </row>
    <row r="257" customFormat="false" ht="15" hidden="false" customHeight="false" outlineLevel="0" collapsed="false">
      <c r="R257" s="1" t="s">
        <v>666</v>
      </c>
      <c r="V257" s="55" t="s">
        <v>440</v>
      </c>
      <c r="X257" s="57" t="n">
        <v>0.36</v>
      </c>
      <c r="Y257" s="1" t="n">
        <v>13.93</v>
      </c>
      <c r="Z257" s="28" t="n">
        <f aca="false">X257*Y257</f>
        <v>5.0148</v>
      </c>
    </row>
    <row r="258" customFormat="false" ht="15" hidden="false" customHeight="false" outlineLevel="0" collapsed="false">
      <c r="R258" s="1" t="s">
        <v>675</v>
      </c>
      <c r="V258" s="55" t="s">
        <v>440</v>
      </c>
      <c r="X258" s="57" t="n">
        <v>1.5</v>
      </c>
      <c r="Y258" s="88" t="n">
        <v>27.88</v>
      </c>
      <c r="Z258" s="28" t="n">
        <f aca="false">X258*Y258</f>
        <v>41.82</v>
      </c>
    </row>
    <row r="259" customFormat="false" ht="15" hidden="false" customHeight="false" outlineLevel="0" collapsed="false">
      <c r="V259" s="55"/>
      <c r="X259" s="57"/>
      <c r="Y259" s="28"/>
      <c r="Z259" s="86" t="n">
        <f aca="false">SUM(Z253:Z258)</f>
        <v>340.18884</v>
      </c>
    </row>
    <row r="260" customFormat="false" ht="15" hidden="false" customHeight="false" outlineLevel="0" collapsed="false">
      <c r="R260" s="87" t="s">
        <v>310</v>
      </c>
    </row>
    <row r="261" customFormat="false" ht="15" hidden="false" customHeight="false" outlineLevel="0" collapsed="false">
      <c r="R261" s="1" t="s">
        <v>311</v>
      </c>
      <c r="V261" s="55" t="s">
        <v>312</v>
      </c>
      <c r="X261" s="57" t="n">
        <v>3</v>
      </c>
      <c r="Y261" s="28" t="n">
        <f aca="false">Z251</f>
        <v>83.856</v>
      </c>
      <c r="Z261" s="28" t="n">
        <f aca="false">X261%*Y261</f>
        <v>2.51568</v>
      </c>
    </row>
    <row r="262" customFormat="false" ht="15" hidden="false" customHeight="false" outlineLevel="0" collapsed="false">
      <c r="R262" s="1" t="s">
        <v>668</v>
      </c>
      <c r="V262" s="55" t="s">
        <v>338</v>
      </c>
      <c r="W262" s="56" t="n">
        <v>1</v>
      </c>
      <c r="X262" s="57" t="n">
        <f aca="false">W262*8/$T$245</f>
        <v>0.4</v>
      </c>
      <c r="Y262" s="28" t="n">
        <v>25.63</v>
      </c>
      <c r="Z262" s="28" t="n">
        <f aca="false">X262*Y262</f>
        <v>10.252</v>
      </c>
    </row>
    <row r="263" customFormat="false" ht="15" hidden="false" customHeight="false" outlineLevel="0" collapsed="false">
      <c r="R263" s="1" t="s">
        <v>676</v>
      </c>
      <c r="V263" s="55" t="s">
        <v>338</v>
      </c>
      <c r="W263" s="56" t="n">
        <v>0.5</v>
      </c>
      <c r="X263" s="57" t="n">
        <f aca="false">W263*8/$T$245</f>
        <v>0.2</v>
      </c>
      <c r="Y263" s="28" t="n">
        <v>7.07</v>
      </c>
      <c r="Z263" s="28" t="n">
        <f aca="false">X263*Y263</f>
        <v>1.414</v>
      </c>
    </row>
    <row r="264" customFormat="false" ht="15" hidden="false" customHeight="false" outlineLevel="0" collapsed="false">
      <c r="Q264" s="60"/>
      <c r="R264" s="60"/>
      <c r="S264" s="60"/>
      <c r="T264" s="60"/>
      <c r="U264" s="60"/>
      <c r="V264" s="60"/>
      <c r="W264" s="60"/>
      <c r="X264" s="60"/>
      <c r="Y264" s="60"/>
      <c r="Z264" s="89" t="n">
        <f aca="false">SUM(Z261:Z263)</f>
        <v>14.18168</v>
      </c>
    </row>
    <row r="265" customFormat="false" ht="15" hidden="false" customHeight="false" outlineLevel="0" collapsed="false">
      <c r="Z265" s="86"/>
    </row>
    <row r="266" customFormat="false" ht="15" hidden="false" customHeight="false" outlineLevel="0" collapsed="false">
      <c r="Q266" s="82" t="s">
        <v>278</v>
      </c>
      <c r="R266" s="82"/>
      <c r="S266" s="82" t="s">
        <v>513</v>
      </c>
      <c r="T266" s="82"/>
    </row>
    <row r="267" customFormat="false" ht="15" hidden="false" customHeight="false" outlineLevel="0" collapsed="false">
      <c r="Q267" s="82" t="s">
        <v>279</v>
      </c>
      <c r="R267" s="82" t="s">
        <v>280</v>
      </c>
      <c r="S267" s="84" t="s">
        <v>281</v>
      </c>
      <c r="T267" s="85" t="n">
        <v>20</v>
      </c>
      <c r="U267" s="84" t="s">
        <v>282</v>
      </c>
      <c r="V267" s="85" t="n">
        <f aca="false">T267</f>
        <v>20</v>
      </c>
      <c r="W267" s="82" t="s">
        <v>283</v>
      </c>
      <c r="Y267" s="84" t="s">
        <v>134</v>
      </c>
      <c r="Z267" s="86" t="n">
        <f aca="false">Z272+Z277+Z280</f>
        <v>64.02696</v>
      </c>
    </row>
    <row r="268" customFormat="false" ht="15" hidden="false" customHeight="false" outlineLevel="0" collapsed="false">
      <c r="Q268" s="82" t="s">
        <v>284</v>
      </c>
      <c r="R268" s="82" t="s">
        <v>285</v>
      </c>
      <c r="V268" s="84" t="s">
        <v>123</v>
      </c>
      <c r="W268" s="84" t="s">
        <v>286</v>
      </c>
      <c r="X268" s="84" t="s">
        <v>287</v>
      </c>
      <c r="Y268" s="84" t="s">
        <v>288</v>
      </c>
      <c r="Z268" s="84" t="s">
        <v>289</v>
      </c>
    </row>
    <row r="269" customFormat="false" ht="15" hidden="false" customHeight="false" outlineLevel="0" collapsed="false">
      <c r="R269" s="87" t="s">
        <v>290</v>
      </c>
      <c r="AC269" s="28"/>
    </row>
    <row r="270" customFormat="false" ht="15" hidden="false" customHeight="false" outlineLevel="0" collapsed="false">
      <c r="R270" s="1" t="s">
        <v>291</v>
      </c>
      <c r="V270" s="55" t="s">
        <v>292</v>
      </c>
      <c r="W270" s="56" t="n">
        <v>2</v>
      </c>
      <c r="X270" s="57" t="n">
        <f aca="false">W270*8/$T$267</f>
        <v>0.8</v>
      </c>
      <c r="Y270" s="28" t="n">
        <v>28.94</v>
      </c>
      <c r="Z270" s="28" t="n">
        <f aca="false">X270*Y270</f>
        <v>23.152</v>
      </c>
      <c r="AC270" s="28"/>
    </row>
    <row r="271" customFormat="false" ht="15" hidden="false" customHeight="false" outlineLevel="0" collapsed="false">
      <c r="R271" s="1" t="s">
        <v>293</v>
      </c>
      <c r="V271" s="55" t="s">
        <v>292</v>
      </c>
      <c r="W271" s="56" t="n">
        <v>2</v>
      </c>
      <c r="X271" s="57" t="n">
        <f aca="false">W271*8/$T$267</f>
        <v>0.8</v>
      </c>
      <c r="Y271" s="28" t="n">
        <v>23.6</v>
      </c>
      <c r="Z271" s="28" t="n">
        <f aca="false">X271*Y271</f>
        <v>18.88</v>
      </c>
    </row>
    <row r="272" customFormat="false" ht="15" hidden="false" customHeight="false" outlineLevel="0" collapsed="false">
      <c r="V272" s="55"/>
      <c r="W272" s="56"/>
      <c r="X272" s="57"/>
      <c r="Z272" s="86" t="n">
        <f aca="false">SUM(Z270:Z271)</f>
        <v>42.032</v>
      </c>
    </row>
    <row r="273" customFormat="false" ht="15" hidden="false" customHeight="false" outlineLevel="0" collapsed="false">
      <c r="R273" s="87" t="s">
        <v>654</v>
      </c>
      <c r="V273" s="55"/>
      <c r="W273" s="56"/>
      <c r="X273" s="57"/>
      <c r="Z273" s="28"/>
    </row>
    <row r="274" customFormat="false" ht="15" hidden="false" customHeight="false" outlineLevel="0" collapsed="false">
      <c r="R274" s="1" t="s">
        <v>678</v>
      </c>
      <c r="V274" s="55" t="s">
        <v>297</v>
      </c>
      <c r="X274" s="57" t="n">
        <v>0.16</v>
      </c>
      <c r="Y274" s="28" t="n">
        <v>2.64</v>
      </c>
      <c r="Z274" s="28" t="n">
        <f aca="false">X274*Y274</f>
        <v>0.4224</v>
      </c>
    </row>
    <row r="275" customFormat="false" ht="15" hidden="false" customHeight="false" outlineLevel="0" collapsed="false">
      <c r="R275" s="1" t="s">
        <v>302</v>
      </c>
      <c r="V275" s="55" t="s">
        <v>297</v>
      </c>
      <c r="X275" s="57" t="n">
        <v>0.16</v>
      </c>
      <c r="Y275" s="28" t="n">
        <v>5.51</v>
      </c>
      <c r="Z275" s="28" t="n">
        <f aca="false">X275*Y275</f>
        <v>0.8816</v>
      </c>
    </row>
    <row r="276" customFormat="false" ht="15" hidden="false" customHeight="false" outlineLevel="0" collapsed="false">
      <c r="R276" s="1" t="s">
        <v>670</v>
      </c>
      <c r="V276" s="55" t="s">
        <v>306</v>
      </c>
      <c r="X276" s="57" t="n">
        <v>3.35</v>
      </c>
      <c r="Y276" s="28" t="n">
        <v>5.8</v>
      </c>
      <c r="Z276" s="28" t="n">
        <f aca="false">X276*Y276</f>
        <v>19.43</v>
      </c>
    </row>
    <row r="277" customFormat="false" ht="15" hidden="false" customHeight="false" outlineLevel="0" collapsed="false">
      <c r="V277" s="55"/>
      <c r="X277" s="57"/>
      <c r="Y277" s="28"/>
      <c r="Z277" s="86" t="n">
        <f aca="false">SUM(Z274:Z276)</f>
        <v>20.734</v>
      </c>
    </row>
    <row r="278" customFormat="false" ht="15" hidden="false" customHeight="false" outlineLevel="0" collapsed="false">
      <c r="R278" s="87" t="s">
        <v>310</v>
      </c>
    </row>
    <row r="279" customFormat="false" ht="15" hidden="false" customHeight="false" outlineLevel="0" collapsed="false">
      <c r="R279" s="1" t="s">
        <v>311</v>
      </c>
      <c r="V279" s="55" t="s">
        <v>312</v>
      </c>
      <c r="X279" s="57" t="n">
        <v>3</v>
      </c>
      <c r="Y279" s="28" t="n">
        <f aca="false">Z272</f>
        <v>42.032</v>
      </c>
      <c r="Z279" s="28" t="n">
        <f aca="false">X279%*Y279</f>
        <v>1.26096</v>
      </c>
    </row>
    <row r="280" customFormat="false" ht="15" hidden="false" customHeight="false" outlineLevel="0" collapsed="false">
      <c r="Q280" s="60"/>
      <c r="R280" s="60"/>
      <c r="S280" s="60"/>
      <c r="T280" s="60"/>
      <c r="U280" s="60"/>
      <c r="V280" s="60"/>
      <c r="W280" s="60"/>
      <c r="X280" s="60"/>
      <c r="Y280" s="60"/>
      <c r="Z280" s="89" t="n">
        <f aca="false">SUM(Z279)</f>
        <v>1.26096</v>
      </c>
    </row>
    <row r="281" customFormat="false" ht="15" hidden="false" customHeight="false" outlineLevel="0" collapsed="false">
      <c r="Z281" s="86"/>
    </row>
    <row r="282" customFormat="false" ht="15" hidden="false" customHeight="false" outlineLevel="0" collapsed="false">
      <c r="Q282" s="82" t="s">
        <v>278</v>
      </c>
      <c r="R282" s="82"/>
      <c r="S282" s="82" t="s">
        <v>685</v>
      </c>
      <c r="T282" s="82"/>
    </row>
    <row r="283" customFormat="false" ht="15" hidden="false" customHeight="false" outlineLevel="0" collapsed="false">
      <c r="Q283" s="82" t="s">
        <v>279</v>
      </c>
      <c r="R283" s="82" t="s">
        <v>679</v>
      </c>
      <c r="S283" s="84" t="s">
        <v>281</v>
      </c>
      <c r="T283" s="85" t="n">
        <v>250</v>
      </c>
      <c r="U283" s="84" t="s">
        <v>282</v>
      </c>
      <c r="V283" s="85" t="n">
        <f aca="false">T283</f>
        <v>250</v>
      </c>
      <c r="W283" s="82" t="s">
        <v>283</v>
      </c>
      <c r="Y283" s="84" t="s">
        <v>297</v>
      </c>
      <c r="Z283" s="86" t="n">
        <f aca="false">Z289+Z293+Z297</f>
        <v>5.5639628445</v>
      </c>
    </row>
    <row r="284" customFormat="false" ht="15" hidden="false" customHeight="false" outlineLevel="0" collapsed="false">
      <c r="Q284" s="82" t="s">
        <v>284</v>
      </c>
      <c r="R284" s="82" t="s">
        <v>285</v>
      </c>
      <c r="V284" s="84" t="s">
        <v>123</v>
      </c>
      <c r="W284" s="84" t="s">
        <v>286</v>
      </c>
      <c r="X284" s="84" t="s">
        <v>287</v>
      </c>
      <c r="Y284" s="84" t="s">
        <v>288</v>
      </c>
      <c r="Z284" s="84" t="s">
        <v>289</v>
      </c>
    </row>
    <row r="285" customFormat="false" ht="15" hidden="false" customHeight="false" outlineLevel="0" collapsed="false">
      <c r="R285" s="87" t="s">
        <v>290</v>
      </c>
      <c r="W285" s="56"/>
    </row>
    <row r="286" customFormat="false" ht="15" hidden="false" customHeight="false" outlineLevel="0" collapsed="false">
      <c r="R286" s="1" t="s">
        <v>291</v>
      </c>
      <c r="V286" s="55" t="s">
        <v>292</v>
      </c>
      <c r="W286" s="56" t="n">
        <v>1</v>
      </c>
      <c r="X286" s="99" t="n">
        <f aca="false">W286*8/$T$229</f>
        <v>0.032</v>
      </c>
      <c r="Y286" s="28" t="n">
        <v>28.94</v>
      </c>
      <c r="Z286" s="28" t="n">
        <f aca="false">X286*Y286</f>
        <v>0.92608</v>
      </c>
    </row>
    <row r="287" customFormat="false" ht="15" hidden="false" customHeight="false" outlineLevel="0" collapsed="false">
      <c r="R287" s="1" t="s">
        <v>680</v>
      </c>
      <c r="V287" s="55" t="s">
        <v>292</v>
      </c>
      <c r="W287" s="56" t="n">
        <v>1</v>
      </c>
      <c r="X287" s="99" t="n">
        <f aca="false">W287*8/$T$229</f>
        <v>0.032</v>
      </c>
      <c r="Y287" s="28" t="n">
        <v>23.6</v>
      </c>
      <c r="Z287" s="28" t="n">
        <f aca="false">X287*Y287</f>
        <v>0.7552</v>
      </c>
    </row>
    <row r="288" customFormat="false" ht="15" hidden="false" customHeight="false" outlineLevel="0" collapsed="false">
      <c r="V288" s="55"/>
      <c r="W288" s="56"/>
      <c r="X288" s="99"/>
      <c r="Y288" s="28"/>
      <c r="Z288" s="28"/>
    </row>
    <row r="289" customFormat="false" ht="15" hidden="false" customHeight="false" outlineLevel="0" collapsed="false">
      <c r="V289" s="55"/>
      <c r="W289" s="56"/>
      <c r="Z289" s="86" t="n">
        <f aca="false">SUM(Z286:Z288)</f>
        <v>1.68128</v>
      </c>
    </row>
    <row r="290" customFormat="false" ht="15" hidden="false" customHeight="false" outlineLevel="0" collapsed="false">
      <c r="R290" s="87" t="s">
        <v>295</v>
      </c>
      <c r="V290" s="55"/>
      <c r="W290" s="56"/>
      <c r="X290" s="99"/>
    </row>
    <row r="291" customFormat="false" ht="15" hidden="false" customHeight="false" outlineLevel="0" collapsed="false">
      <c r="R291" s="1" t="s">
        <v>296</v>
      </c>
      <c r="V291" s="55" t="s">
        <v>297</v>
      </c>
      <c r="W291" s="56"/>
      <c r="X291" s="99" t="n">
        <v>0.03</v>
      </c>
      <c r="Y291" s="28" t="n">
        <v>2.64</v>
      </c>
      <c r="Z291" s="28" t="n">
        <f aca="false">X291*Y291</f>
        <v>0.0792</v>
      </c>
    </row>
    <row r="292" customFormat="false" ht="15" hidden="false" customHeight="false" outlineLevel="0" collapsed="false">
      <c r="R292" s="1" t="s">
        <v>681</v>
      </c>
      <c r="V292" s="55" t="s">
        <v>297</v>
      </c>
      <c r="W292" s="56"/>
      <c r="X292" s="99" t="n">
        <v>1.05</v>
      </c>
      <c r="Y292" s="28" t="n">
        <f aca="false">1012.71*3.379/1000</f>
        <v>3.42194709</v>
      </c>
      <c r="Z292" s="28" t="n">
        <f aca="false">X292*Y292</f>
        <v>3.5930444445</v>
      </c>
    </row>
    <row r="293" customFormat="false" ht="15" hidden="false" customHeight="false" outlineLevel="0" collapsed="false">
      <c r="V293" s="55"/>
      <c r="W293" s="56"/>
      <c r="Z293" s="86" t="n">
        <f aca="false">SUM(Z291:Z292)</f>
        <v>3.6722444445</v>
      </c>
    </row>
    <row r="294" customFormat="false" ht="15" hidden="false" customHeight="false" outlineLevel="0" collapsed="false">
      <c r="R294" s="87" t="s">
        <v>318</v>
      </c>
      <c r="V294" s="55"/>
      <c r="W294" s="56"/>
    </row>
    <row r="295" customFormat="false" ht="15" hidden="false" customHeight="false" outlineLevel="0" collapsed="false">
      <c r="R295" s="1" t="s">
        <v>311</v>
      </c>
      <c r="V295" s="55" t="s">
        <v>312</v>
      </c>
      <c r="X295" s="57" t="n">
        <v>3</v>
      </c>
      <c r="Y295" s="28" t="n">
        <f aca="false">Z289</f>
        <v>1.68128</v>
      </c>
      <c r="Z295" s="28" t="n">
        <f aca="false">X295%*Y295</f>
        <v>0.0504384</v>
      </c>
    </row>
    <row r="296" customFormat="false" ht="15" hidden="false" customHeight="false" outlineLevel="0" collapsed="false">
      <c r="R296" s="1" t="s">
        <v>682</v>
      </c>
      <c r="V296" s="55" t="s">
        <v>292</v>
      </c>
      <c r="W296" s="56" t="n">
        <v>1</v>
      </c>
      <c r="X296" s="57" t="n">
        <f aca="false">W296*8/$T$283</f>
        <v>0.032</v>
      </c>
      <c r="Y296" s="46" t="n">
        <v>5</v>
      </c>
      <c r="Z296" s="28" t="n">
        <f aca="false">X296*Y296</f>
        <v>0.16</v>
      </c>
    </row>
    <row r="297" customFormat="false" ht="15" hidden="false" customHeight="false" outlineLevel="0" collapsed="false">
      <c r="Q297" s="60"/>
      <c r="R297" s="60"/>
      <c r="S297" s="60"/>
      <c r="T297" s="60"/>
      <c r="U297" s="60"/>
      <c r="V297" s="60"/>
      <c r="W297" s="60"/>
      <c r="X297" s="60"/>
      <c r="Y297" s="60"/>
      <c r="Z297" s="89" t="n">
        <f aca="false">SUM(Z295:Z296)</f>
        <v>0.2104384</v>
      </c>
    </row>
    <row r="300" customFormat="false" ht="15" hidden="false" customHeight="false" outlineLevel="0" collapsed="false">
      <c r="Q300" s="82" t="s">
        <v>278</v>
      </c>
      <c r="R300" s="82"/>
      <c r="S300" s="82" t="s">
        <v>686</v>
      </c>
      <c r="T300" s="82"/>
    </row>
    <row r="301" customFormat="false" ht="15" hidden="false" customHeight="false" outlineLevel="0" collapsed="false">
      <c r="Q301" s="82" t="s">
        <v>279</v>
      </c>
      <c r="R301" s="82" t="s">
        <v>417</v>
      </c>
      <c r="S301" s="84" t="s">
        <v>281</v>
      </c>
      <c r="T301" s="85" t="n">
        <v>15</v>
      </c>
      <c r="U301" s="84" t="s">
        <v>282</v>
      </c>
      <c r="V301" s="85" t="n">
        <f aca="false">T301</f>
        <v>15</v>
      </c>
      <c r="W301" s="82" t="s">
        <v>283</v>
      </c>
      <c r="Y301" s="84" t="s">
        <v>204</v>
      </c>
      <c r="Z301" s="86" t="n">
        <f aca="false">Z307+Z314+Z319</f>
        <v>424.9218</v>
      </c>
    </row>
    <row r="302" customFormat="false" ht="15" hidden="false" customHeight="false" outlineLevel="0" collapsed="false">
      <c r="Q302" s="82" t="s">
        <v>284</v>
      </c>
      <c r="R302" s="82" t="s">
        <v>285</v>
      </c>
      <c r="V302" s="84" t="s">
        <v>123</v>
      </c>
      <c r="W302" s="84" t="s">
        <v>286</v>
      </c>
      <c r="X302" s="84" t="s">
        <v>287</v>
      </c>
      <c r="Y302" s="84" t="s">
        <v>288</v>
      </c>
      <c r="Z302" s="84" t="s">
        <v>289</v>
      </c>
    </row>
    <row r="303" customFormat="false" ht="15" hidden="false" customHeight="false" outlineLevel="0" collapsed="false">
      <c r="R303" s="87" t="s">
        <v>290</v>
      </c>
    </row>
    <row r="304" customFormat="false" ht="15" hidden="false" customHeight="false" outlineLevel="0" collapsed="false">
      <c r="R304" s="1" t="s">
        <v>291</v>
      </c>
      <c r="V304" s="55" t="s">
        <v>292</v>
      </c>
      <c r="W304" s="56" t="n">
        <v>1</v>
      </c>
      <c r="X304" s="57" t="n">
        <f aca="false">W304*8/$T$301</f>
        <v>0.533333333333333</v>
      </c>
      <c r="Y304" s="28" t="n">
        <v>28.94</v>
      </c>
      <c r="Z304" s="28" t="n">
        <f aca="false">X304*Y304</f>
        <v>15.4346666666667</v>
      </c>
    </row>
    <row r="305" customFormat="false" ht="15" hidden="false" customHeight="false" outlineLevel="0" collapsed="false">
      <c r="R305" s="1" t="s">
        <v>293</v>
      </c>
      <c r="V305" s="55" t="s">
        <v>292</v>
      </c>
      <c r="W305" s="56" t="n">
        <v>1</v>
      </c>
      <c r="X305" s="57" t="n">
        <f aca="false">W305*8/$T$301</f>
        <v>0.533333333333333</v>
      </c>
      <c r="Y305" s="28" t="n">
        <v>23.6</v>
      </c>
      <c r="Z305" s="28" t="n">
        <f aca="false">X305*Y305</f>
        <v>12.5866666666667</v>
      </c>
    </row>
    <row r="306" customFormat="false" ht="15" hidden="false" customHeight="false" outlineLevel="0" collapsed="false">
      <c r="R306" s="1" t="s">
        <v>294</v>
      </c>
      <c r="V306" s="55" t="s">
        <v>292</v>
      </c>
      <c r="W306" s="56" t="n">
        <v>7</v>
      </c>
      <c r="X306" s="57" t="n">
        <f aca="false">W306*8/$T$301</f>
        <v>3.73333333333333</v>
      </c>
      <c r="Y306" s="28" t="n">
        <v>21.36</v>
      </c>
      <c r="Z306" s="28" t="n">
        <f aca="false">X306*Y306</f>
        <v>79.744</v>
      </c>
    </row>
    <row r="307" customFormat="false" ht="15" hidden="false" customHeight="false" outlineLevel="0" collapsed="false">
      <c r="V307" s="55"/>
      <c r="W307" s="56"/>
      <c r="X307" s="57"/>
      <c r="Z307" s="86" t="n">
        <f aca="false">SUM(Z304:Z306)</f>
        <v>107.765333333333</v>
      </c>
    </row>
    <row r="308" customFormat="false" ht="15" hidden="false" customHeight="false" outlineLevel="0" collapsed="false">
      <c r="R308" s="87" t="s">
        <v>654</v>
      </c>
      <c r="V308" s="55"/>
      <c r="W308" s="56"/>
      <c r="X308" s="57"/>
      <c r="Z308" s="28"/>
    </row>
    <row r="309" customFormat="false" ht="15" hidden="false" customHeight="false" outlineLevel="0" collapsed="false">
      <c r="R309" s="1" t="s">
        <v>673</v>
      </c>
      <c r="V309" s="55" t="s">
        <v>204</v>
      </c>
      <c r="X309" s="57" t="n">
        <v>0.53</v>
      </c>
      <c r="Y309" s="28" t="n">
        <v>55.08</v>
      </c>
      <c r="Z309" s="28" t="n">
        <f aca="false">X309*Y309</f>
        <v>29.1924</v>
      </c>
    </row>
    <row r="310" customFormat="false" ht="15" hidden="false" customHeight="false" outlineLevel="0" collapsed="false">
      <c r="R310" s="1" t="s">
        <v>674</v>
      </c>
      <c r="V310" s="55" t="s">
        <v>204</v>
      </c>
      <c r="X310" s="57" t="n">
        <v>0.52</v>
      </c>
      <c r="Y310" s="28" t="n">
        <v>47</v>
      </c>
      <c r="Z310" s="28" t="n">
        <f aca="false">X310*Y310</f>
        <v>24.44</v>
      </c>
    </row>
    <row r="311" customFormat="false" ht="15" hidden="false" customHeight="false" outlineLevel="0" collapsed="false">
      <c r="R311" s="1" t="s">
        <v>307</v>
      </c>
      <c r="V311" s="55" t="s">
        <v>308</v>
      </c>
      <c r="X311" s="57" t="n">
        <v>9.73</v>
      </c>
      <c r="Y311" s="28" t="n">
        <v>24.52</v>
      </c>
      <c r="Z311" s="28" t="n">
        <f aca="false">X311*Y311</f>
        <v>238.5796</v>
      </c>
    </row>
    <row r="312" customFormat="false" ht="15" hidden="false" customHeight="false" outlineLevel="0" collapsed="false">
      <c r="R312" s="1" t="s">
        <v>656</v>
      </c>
      <c r="V312" s="55" t="s">
        <v>204</v>
      </c>
      <c r="X312" s="57" t="n">
        <v>0.186</v>
      </c>
      <c r="Y312" s="1" t="n">
        <v>6.14</v>
      </c>
      <c r="Z312" s="28" t="n">
        <f aca="false">X312*Y312</f>
        <v>1.14204</v>
      </c>
    </row>
    <row r="313" customFormat="false" ht="15" hidden="false" customHeight="false" outlineLevel="0" collapsed="false">
      <c r="R313" s="1" t="s">
        <v>666</v>
      </c>
      <c r="V313" s="55" t="s">
        <v>440</v>
      </c>
      <c r="X313" s="57" t="n">
        <v>0.36</v>
      </c>
      <c r="Y313" s="1" t="n">
        <v>13.93</v>
      </c>
      <c r="Z313" s="28" t="n">
        <f aca="false">X313*Y313</f>
        <v>5.0148</v>
      </c>
    </row>
    <row r="314" customFormat="false" ht="15" hidden="false" customHeight="false" outlineLevel="0" collapsed="false">
      <c r="V314" s="55"/>
      <c r="X314" s="57"/>
      <c r="Y314" s="28"/>
      <c r="Z314" s="86" t="n">
        <f aca="false">SUM(Z309:Z313)</f>
        <v>298.36884</v>
      </c>
    </row>
    <row r="315" customFormat="false" ht="15" hidden="false" customHeight="false" outlineLevel="0" collapsed="false">
      <c r="R315" s="87" t="s">
        <v>310</v>
      </c>
    </row>
    <row r="316" customFormat="false" ht="15" hidden="false" customHeight="false" outlineLevel="0" collapsed="false">
      <c r="R316" s="1" t="s">
        <v>311</v>
      </c>
      <c r="V316" s="55" t="s">
        <v>312</v>
      </c>
      <c r="X316" s="57" t="n">
        <v>3</v>
      </c>
      <c r="Y316" s="28" t="n">
        <f aca="false">Z307</f>
        <v>107.765333333333</v>
      </c>
      <c r="Z316" s="28" t="n">
        <f aca="false">X316%*Y316</f>
        <v>3.23296</v>
      </c>
    </row>
    <row r="317" customFormat="false" ht="15" hidden="false" customHeight="false" outlineLevel="0" collapsed="false">
      <c r="R317" s="1" t="s">
        <v>668</v>
      </c>
      <c r="V317" s="55" t="s">
        <v>338</v>
      </c>
      <c r="W317" s="56" t="n">
        <v>1</v>
      </c>
      <c r="X317" s="57" t="n">
        <f aca="false">W317*8/$T$301</f>
        <v>0.533333333333333</v>
      </c>
      <c r="Y317" s="28" t="n">
        <v>25.63</v>
      </c>
      <c r="Z317" s="28" t="n">
        <f aca="false">X317*Y317</f>
        <v>13.6693333333333</v>
      </c>
    </row>
    <row r="318" customFormat="false" ht="15" hidden="false" customHeight="false" outlineLevel="0" collapsed="false">
      <c r="R318" s="1" t="s">
        <v>676</v>
      </c>
      <c r="V318" s="55" t="s">
        <v>338</v>
      </c>
      <c r="W318" s="56" t="n">
        <v>0.5</v>
      </c>
      <c r="X318" s="57" t="n">
        <f aca="false">W318*8/$T$301</f>
        <v>0.266666666666667</v>
      </c>
      <c r="Y318" s="28" t="n">
        <v>7.07</v>
      </c>
      <c r="Z318" s="28" t="n">
        <f aca="false">X318*Y318</f>
        <v>1.88533333333333</v>
      </c>
    </row>
    <row r="319" customFormat="false" ht="15" hidden="false" customHeight="false" outlineLevel="0" collapsed="false">
      <c r="Q319" s="60"/>
      <c r="R319" s="60"/>
      <c r="S319" s="60"/>
      <c r="T319" s="60"/>
      <c r="U319" s="60"/>
      <c r="V319" s="60"/>
      <c r="W319" s="60"/>
      <c r="X319" s="60"/>
      <c r="Y319" s="60"/>
      <c r="Z319" s="89" t="n">
        <f aca="false">SUM(Z316:Z318)</f>
        <v>18.7876266666667</v>
      </c>
    </row>
    <row r="321" customFormat="false" ht="15" hidden="false" customHeight="false" outlineLevel="0" collapsed="false">
      <c r="Q321" s="82" t="s">
        <v>278</v>
      </c>
      <c r="R321" s="82"/>
      <c r="S321" s="82" t="s">
        <v>687</v>
      </c>
      <c r="T321" s="82"/>
    </row>
    <row r="322" customFormat="false" ht="15" hidden="false" customHeight="false" outlineLevel="0" collapsed="false">
      <c r="Q322" s="82" t="s">
        <v>279</v>
      </c>
      <c r="R322" s="82" t="s">
        <v>280</v>
      </c>
      <c r="S322" s="84" t="s">
        <v>281</v>
      </c>
      <c r="T322" s="85" t="n">
        <v>20</v>
      </c>
      <c r="U322" s="84" t="s">
        <v>282</v>
      </c>
      <c r="V322" s="85" t="n">
        <f aca="false">T322</f>
        <v>20</v>
      </c>
      <c r="W322" s="82" t="s">
        <v>283</v>
      </c>
      <c r="Y322" s="84" t="s">
        <v>134</v>
      </c>
      <c r="Z322" s="86" t="n">
        <f aca="false">Z327+Z332+Z335</f>
        <v>42.64448</v>
      </c>
    </row>
    <row r="323" customFormat="false" ht="15" hidden="false" customHeight="false" outlineLevel="0" collapsed="false">
      <c r="Q323" s="82" t="s">
        <v>284</v>
      </c>
      <c r="R323" s="82" t="s">
        <v>285</v>
      </c>
      <c r="V323" s="84" t="s">
        <v>123</v>
      </c>
      <c r="W323" s="84" t="s">
        <v>286</v>
      </c>
      <c r="X323" s="84" t="s">
        <v>287</v>
      </c>
      <c r="Y323" s="84" t="s">
        <v>288</v>
      </c>
      <c r="Z323" s="84" t="s">
        <v>289</v>
      </c>
    </row>
    <row r="324" customFormat="false" ht="15" hidden="false" customHeight="false" outlineLevel="0" collapsed="false">
      <c r="R324" s="87" t="s">
        <v>290</v>
      </c>
    </row>
    <row r="325" customFormat="false" ht="15" hidden="false" customHeight="false" outlineLevel="0" collapsed="false">
      <c r="R325" s="1" t="s">
        <v>291</v>
      </c>
      <c r="V325" s="55" t="s">
        <v>292</v>
      </c>
      <c r="W325" s="56" t="n">
        <v>1</v>
      </c>
      <c r="X325" s="57" t="n">
        <f aca="false">W325*8/$T$322</f>
        <v>0.4</v>
      </c>
      <c r="Y325" s="28" t="n">
        <v>28.94</v>
      </c>
      <c r="Z325" s="28" t="n">
        <f aca="false">X325*Y325</f>
        <v>11.576</v>
      </c>
    </row>
    <row r="326" customFormat="false" ht="15" hidden="false" customHeight="false" outlineLevel="0" collapsed="false">
      <c r="R326" s="1" t="s">
        <v>293</v>
      </c>
      <c r="V326" s="55" t="s">
        <v>292</v>
      </c>
      <c r="W326" s="56" t="n">
        <v>1</v>
      </c>
      <c r="X326" s="57" t="n">
        <f aca="false">W326*8/$T$322</f>
        <v>0.4</v>
      </c>
      <c r="Y326" s="28" t="n">
        <v>23.6</v>
      </c>
      <c r="Z326" s="28" t="n">
        <f aca="false">X326*Y326</f>
        <v>9.44</v>
      </c>
    </row>
    <row r="327" customFormat="false" ht="15" hidden="false" customHeight="false" outlineLevel="0" collapsed="false">
      <c r="V327" s="55"/>
      <c r="W327" s="56"/>
      <c r="X327" s="57"/>
      <c r="Z327" s="86" t="n">
        <f aca="false">SUM(Z325:Z326)</f>
        <v>21.016</v>
      </c>
    </row>
    <row r="328" customFormat="false" ht="15" hidden="false" customHeight="false" outlineLevel="0" collapsed="false">
      <c r="R328" s="87" t="s">
        <v>654</v>
      </c>
      <c r="V328" s="55"/>
      <c r="W328" s="56"/>
      <c r="X328" s="57"/>
      <c r="Z328" s="28"/>
    </row>
    <row r="329" customFormat="false" ht="15" hidden="false" customHeight="false" outlineLevel="0" collapsed="false">
      <c r="R329" s="1" t="s">
        <v>678</v>
      </c>
      <c r="V329" s="55" t="s">
        <v>297</v>
      </c>
      <c r="X329" s="57" t="n">
        <v>0.26</v>
      </c>
      <c r="Y329" s="28" t="n">
        <v>2.64</v>
      </c>
      <c r="Z329" s="28" t="n">
        <f aca="false">X329*Y329</f>
        <v>0.6864</v>
      </c>
    </row>
    <row r="330" customFormat="false" ht="15" hidden="false" customHeight="false" outlineLevel="0" collapsed="false">
      <c r="R330" s="1" t="s">
        <v>302</v>
      </c>
      <c r="V330" s="55" t="s">
        <v>297</v>
      </c>
      <c r="X330" s="57" t="n">
        <v>0.16</v>
      </c>
      <c r="Y330" s="28" t="n">
        <v>5.51</v>
      </c>
      <c r="Z330" s="28" t="n">
        <f aca="false">X330*Y330</f>
        <v>0.8816</v>
      </c>
    </row>
    <row r="331" customFormat="false" ht="15" hidden="false" customHeight="false" outlineLevel="0" collapsed="false">
      <c r="R331" s="1" t="s">
        <v>670</v>
      </c>
      <c r="V331" s="55" t="s">
        <v>306</v>
      </c>
      <c r="X331" s="57" t="n">
        <v>3.35</v>
      </c>
      <c r="Y331" s="28" t="n">
        <v>5.8</v>
      </c>
      <c r="Z331" s="28" t="n">
        <f aca="false">X331*Y331</f>
        <v>19.43</v>
      </c>
    </row>
    <row r="332" customFormat="false" ht="15" hidden="false" customHeight="false" outlineLevel="0" collapsed="false">
      <c r="V332" s="55"/>
      <c r="X332" s="57"/>
      <c r="Y332" s="28"/>
      <c r="Z332" s="86" t="n">
        <f aca="false">SUM(Z329:Z331)</f>
        <v>20.998</v>
      </c>
    </row>
    <row r="333" customFormat="false" ht="15" hidden="false" customHeight="false" outlineLevel="0" collapsed="false">
      <c r="R333" s="87" t="s">
        <v>310</v>
      </c>
    </row>
    <row r="334" customFormat="false" ht="15" hidden="false" customHeight="false" outlineLevel="0" collapsed="false">
      <c r="R334" s="1" t="s">
        <v>311</v>
      </c>
      <c r="V334" s="55" t="s">
        <v>312</v>
      </c>
      <c r="X334" s="57" t="n">
        <v>3</v>
      </c>
      <c r="Y334" s="28" t="n">
        <f aca="false">Z327</f>
        <v>21.016</v>
      </c>
      <c r="Z334" s="28" t="n">
        <f aca="false">X334%*Y334</f>
        <v>0.63048</v>
      </c>
    </row>
    <row r="335" customFormat="false" ht="15" hidden="false" customHeight="false" outlineLevel="0" collapsed="false">
      <c r="Q335" s="60"/>
      <c r="R335" s="60"/>
      <c r="S335" s="60"/>
      <c r="T335" s="60"/>
      <c r="U335" s="60"/>
      <c r="V335" s="60"/>
      <c r="W335" s="60"/>
      <c r="X335" s="60"/>
      <c r="Y335" s="60"/>
      <c r="Z335" s="89" t="n">
        <f aca="false">SUM(Z334)</f>
        <v>0.63048</v>
      </c>
    </row>
    <row r="337" customFormat="false" ht="15" hidden="false" customHeight="false" outlineLevel="0" collapsed="false">
      <c r="Q337" s="82" t="s">
        <v>278</v>
      </c>
      <c r="R337" s="82"/>
      <c r="S337" s="82" t="s">
        <v>688</v>
      </c>
      <c r="T337" s="82"/>
    </row>
    <row r="338" customFormat="false" ht="15" hidden="false" customHeight="false" outlineLevel="0" collapsed="false">
      <c r="Q338" s="82" t="s">
        <v>279</v>
      </c>
      <c r="R338" s="82" t="s">
        <v>679</v>
      </c>
      <c r="S338" s="84" t="s">
        <v>281</v>
      </c>
      <c r="T338" s="85" t="n">
        <v>250</v>
      </c>
      <c r="U338" s="84" t="s">
        <v>282</v>
      </c>
      <c r="V338" s="85" t="n">
        <f aca="false">T338</f>
        <v>250</v>
      </c>
      <c r="W338" s="82" t="s">
        <v>283</v>
      </c>
      <c r="Y338" s="84" t="s">
        <v>297</v>
      </c>
      <c r="Z338" s="86" t="n">
        <f aca="false">Z343+Z347+Z351</f>
        <v>5.5639628445</v>
      </c>
    </row>
    <row r="339" customFormat="false" ht="15" hidden="false" customHeight="false" outlineLevel="0" collapsed="false">
      <c r="Q339" s="82" t="s">
        <v>284</v>
      </c>
      <c r="R339" s="82" t="s">
        <v>285</v>
      </c>
      <c r="V339" s="84" t="s">
        <v>123</v>
      </c>
      <c r="W339" s="84" t="s">
        <v>286</v>
      </c>
      <c r="X339" s="84" t="s">
        <v>287</v>
      </c>
      <c r="Y339" s="84" t="s">
        <v>288</v>
      </c>
      <c r="Z339" s="84" t="s">
        <v>289</v>
      </c>
    </row>
    <row r="340" customFormat="false" ht="15" hidden="false" customHeight="false" outlineLevel="0" collapsed="false">
      <c r="R340" s="87" t="s">
        <v>290</v>
      </c>
      <c r="W340" s="56"/>
    </row>
    <row r="341" customFormat="false" ht="15" hidden="false" customHeight="false" outlineLevel="0" collapsed="false">
      <c r="R341" s="1" t="s">
        <v>291</v>
      </c>
      <c r="V341" s="55" t="s">
        <v>292</v>
      </c>
      <c r="W341" s="56" t="n">
        <v>1</v>
      </c>
      <c r="X341" s="57" t="n">
        <f aca="false">W341*8/$T$338</f>
        <v>0.032</v>
      </c>
      <c r="Y341" s="28" t="n">
        <v>28.94</v>
      </c>
      <c r="Z341" s="28" t="n">
        <f aca="false">X341*Y341</f>
        <v>0.92608</v>
      </c>
    </row>
    <row r="342" customFormat="false" ht="15" hidden="false" customHeight="false" outlineLevel="0" collapsed="false">
      <c r="R342" s="1" t="s">
        <v>680</v>
      </c>
      <c r="V342" s="55" t="s">
        <v>292</v>
      </c>
      <c r="W342" s="56" t="n">
        <v>1</v>
      </c>
      <c r="X342" s="57" t="n">
        <f aca="false">W342*8/$T$338</f>
        <v>0.032</v>
      </c>
      <c r="Y342" s="28" t="n">
        <v>23.6</v>
      </c>
      <c r="Z342" s="28" t="n">
        <f aca="false">X342*Y342</f>
        <v>0.7552</v>
      </c>
    </row>
    <row r="343" customFormat="false" ht="15" hidden="false" customHeight="false" outlineLevel="0" collapsed="false">
      <c r="V343" s="55"/>
      <c r="W343" s="56"/>
      <c r="Z343" s="86" t="n">
        <f aca="false">SUM(Z341:Z342)</f>
        <v>1.68128</v>
      </c>
    </row>
    <row r="344" customFormat="false" ht="15" hidden="false" customHeight="false" outlineLevel="0" collapsed="false">
      <c r="R344" s="87" t="s">
        <v>295</v>
      </c>
      <c r="V344" s="55"/>
      <c r="W344" s="56"/>
      <c r="X344" s="99"/>
    </row>
    <row r="345" customFormat="false" ht="15" hidden="false" customHeight="false" outlineLevel="0" collapsed="false">
      <c r="R345" s="1" t="s">
        <v>296</v>
      </c>
      <c r="V345" s="55" t="s">
        <v>297</v>
      </c>
      <c r="W345" s="56"/>
      <c r="X345" s="99" t="n">
        <v>0.03</v>
      </c>
      <c r="Y345" s="28" t="n">
        <v>2.64</v>
      </c>
      <c r="Z345" s="28" t="n">
        <f aca="false">X345*Y345</f>
        <v>0.0792</v>
      </c>
    </row>
    <row r="346" customFormat="false" ht="15" hidden="false" customHeight="false" outlineLevel="0" collapsed="false">
      <c r="R346" s="1" t="s">
        <v>681</v>
      </c>
      <c r="V346" s="55" t="s">
        <v>297</v>
      </c>
      <c r="W346" s="56"/>
      <c r="X346" s="99" t="n">
        <v>1.05</v>
      </c>
      <c r="Y346" s="28" t="n">
        <f aca="false">1012.71*3.379/1000</f>
        <v>3.42194709</v>
      </c>
      <c r="Z346" s="28" t="n">
        <f aca="false">X346*Y346</f>
        <v>3.5930444445</v>
      </c>
    </row>
    <row r="347" customFormat="false" ht="15" hidden="false" customHeight="false" outlineLevel="0" collapsed="false">
      <c r="V347" s="55"/>
      <c r="W347" s="56"/>
      <c r="Z347" s="86" t="n">
        <f aca="false">SUM(Z345:Z346)</f>
        <v>3.6722444445</v>
      </c>
    </row>
    <row r="348" customFormat="false" ht="15" hidden="false" customHeight="false" outlineLevel="0" collapsed="false">
      <c r="R348" s="87" t="s">
        <v>318</v>
      </c>
      <c r="V348" s="55"/>
      <c r="W348" s="56"/>
    </row>
    <row r="349" customFormat="false" ht="15" hidden="false" customHeight="false" outlineLevel="0" collapsed="false">
      <c r="R349" s="1" t="s">
        <v>311</v>
      </c>
      <c r="V349" s="55" t="s">
        <v>312</v>
      </c>
      <c r="X349" s="57" t="n">
        <v>3</v>
      </c>
      <c r="Y349" s="28" t="n">
        <f aca="false">Z343</f>
        <v>1.68128</v>
      </c>
      <c r="Z349" s="28" t="n">
        <f aca="false">X349%*Y349</f>
        <v>0.0504384</v>
      </c>
    </row>
    <row r="350" customFormat="false" ht="15" hidden="false" customHeight="false" outlineLevel="0" collapsed="false">
      <c r="R350" s="1" t="s">
        <v>682</v>
      </c>
      <c r="V350" s="55" t="s">
        <v>292</v>
      </c>
      <c r="W350" s="56" t="n">
        <v>1</v>
      </c>
      <c r="X350" s="57" t="n">
        <f aca="false">W350*8/$T$338</f>
        <v>0.032</v>
      </c>
      <c r="Y350" s="46" t="n">
        <v>5</v>
      </c>
      <c r="Z350" s="28" t="n">
        <f aca="false">X350*Y350</f>
        <v>0.16</v>
      </c>
    </row>
    <row r="351" customFormat="false" ht="15" hidden="false" customHeight="false" outlineLevel="0" collapsed="false">
      <c r="Q351" s="60"/>
      <c r="R351" s="60"/>
      <c r="S351" s="60"/>
      <c r="T351" s="60"/>
      <c r="U351" s="60"/>
      <c r="V351" s="60"/>
      <c r="W351" s="60"/>
      <c r="X351" s="60"/>
      <c r="Y351" s="60"/>
      <c r="Z351" s="89" t="n">
        <f aca="false">SUM(Z349:Z350)</f>
        <v>0.2104384</v>
      </c>
    </row>
    <row r="352" customFormat="false" ht="15" hidden="false" customHeight="false" outlineLevel="0" collapsed="false">
      <c r="Z352" s="86"/>
    </row>
    <row r="354" customFormat="false" ht="15" hidden="false" customHeight="false" outlineLevel="0" collapsed="false">
      <c r="Q354" s="82"/>
      <c r="R354" s="82"/>
      <c r="S354" s="82"/>
      <c r="T354" s="82"/>
    </row>
    <row r="355" customFormat="false" ht="15" hidden="false" customHeight="false" outlineLevel="0" collapsed="false">
      <c r="Q355" s="82"/>
      <c r="R355" s="82"/>
      <c r="S355" s="84"/>
      <c r="T355" s="85"/>
      <c r="U355" s="84"/>
      <c r="V355" s="85"/>
      <c r="W355" s="82"/>
      <c r="Y355" s="84"/>
      <c r="Z355" s="8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2:AL355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H29" activeCellId="0" sqref="H29"/>
    </sheetView>
  </sheetViews>
  <sheetFormatPr defaultColWidth="8.59765625" defaultRowHeight="15" zeroHeight="false" outlineLevelRow="0" outlineLevelCol="0"/>
  <cols>
    <col collapsed="false" customWidth="true" hidden="false" outlineLevel="0" max="10" min="10" style="1" width="12.72"/>
    <col collapsed="false" customWidth="true" hidden="false" outlineLevel="0" max="11" min="11" style="1" width="12.86"/>
    <col collapsed="false" customWidth="true" hidden="false" outlineLevel="0" max="12" min="12" style="1" width="9.3"/>
    <col collapsed="false" customWidth="true" hidden="false" outlineLevel="0" max="13" min="13" style="1" width="10.86"/>
    <col collapsed="false" customWidth="true" hidden="false" outlineLevel="0" max="20" min="20" style="1" width="9.3"/>
  </cols>
  <sheetData>
    <row r="2" customFormat="false" ht="15" hidden="false" customHeight="false" outlineLevel="0" collapsed="false">
      <c r="M2" s="157" t="s">
        <v>1378</v>
      </c>
      <c r="N2" s="157" t="n">
        <f aca="false">'Datos iniciales '!B6</f>
        <v>1</v>
      </c>
    </row>
    <row r="3" customFormat="false" ht="15" hidden="false" customHeight="false" outlineLevel="0" collapsed="false">
      <c r="E3" s="36" t="s">
        <v>1220</v>
      </c>
      <c r="F3" s="36" t="s">
        <v>1221</v>
      </c>
      <c r="G3" s="36" t="s">
        <v>123</v>
      </c>
      <c r="H3" s="36" t="s">
        <v>124</v>
      </c>
      <c r="I3" s="36" t="s">
        <v>125</v>
      </c>
      <c r="J3" s="36" t="s">
        <v>454</v>
      </c>
      <c r="K3" s="36" t="s">
        <v>455</v>
      </c>
      <c r="M3" s="157"/>
      <c r="N3" s="157"/>
    </row>
    <row r="4" customFormat="false" ht="15" hidden="false" customHeight="false" outlineLevel="0" collapsed="false">
      <c r="G4" s="158"/>
      <c r="H4" s="71"/>
      <c r="I4" s="28"/>
      <c r="K4" s="1" t="n">
        <f aca="false">SUM(J4:J37)</f>
        <v>1027.29792688436</v>
      </c>
      <c r="M4" s="157" t="s">
        <v>1369</v>
      </c>
      <c r="N4" s="157" t="n">
        <f aca="false">K4/N2</f>
        <v>1027.29792688436</v>
      </c>
    </row>
    <row r="5" customFormat="false" ht="15" hidden="false" customHeight="false" outlineLevel="0" collapsed="false">
      <c r="K5" s="28"/>
    </row>
    <row r="6" customFormat="false" ht="15" hidden="false" customHeight="false" outlineLevel="0" collapsed="false">
      <c r="A6" s="26"/>
      <c r="B6" s="14"/>
      <c r="G6" s="14"/>
      <c r="Q6" s="14" t="s">
        <v>278</v>
      </c>
      <c r="R6" s="14"/>
      <c r="S6" s="14" t="s">
        <v>1372</v>
      </c>
      <c r="T6" s="14"/>
    </row>
    <row r="7" customFormat="false" ht="15" hidden="false" customHeight="false" outlineLevel="0" collapsed="false">
      <c r="E7" s="218"/>
      <c r="F7" s="28"/>
      <c r="I7" s="28"/>
      <c r="J7" s="28"/>
      <c r="Q7" s="14" t="s">
        <v>279</v>
      </c>
      <c r="R7" s="14" t="s">
        <v>280</v>
      </c>
      <c r="S7" s="36" t="s">
        <v>281</v>
      </c>
      <c r="T7" s="52" t="n">
        <v>500</v>
      </c>
      <c r="U7" s="36" t="s">
        <v>282</v>
      </c>
      <c r="V7" s="52" t="n">
        <f aca="false">T7</f>
        <v>500</v>
      </c>
      <c r="W7" s="14" t="s">
        <v>283</v>
      </c>
      <c r="Y7" s="36" t="s">
        <v>134</v>
      </c>
      <c r="Z7" s="53" t="n">
        <f aca="false">Z13+Z18+Z23</f>
        <v>2.89927064</v>
      </c>
    </row>
    <row r="8" customFormat="false" ht="15" hidden="false" customHeight="false" outlineLevel="0" collapsed="false">
      <c r="A8" s="26" t="s">
        <v>457</v>
      </c>
      <c r="B8" s="14"/>
      <c r="E8" s="218"/>
      <c r="F8" s="28"/>
      <c r="J8" s="28"/>
      <c r="Q8" s="14" t="s">
        <v>284</v>
      </c>
      <c r="R8" s="14" t="s">
        <v>285</v>
      </c>
      <c r="V8" s="36" t="s">
        <v>123</v>
      </c>
      <c r="W8" s="36" t="s">
        <v>286</v>
      </c>
      <c r="X8" s="36" t="s">
        <v>287</v>
      </c>
      <c r="Y8" s="36" t="s">
        <v>288</v>
      </c>
      <c r="Z8" s="36" t="s">
        <v>289</v>
      </c>
    </row>
    <row r="9" customFormat="false" ht="15" hidden="false" customHeight="false" outlineLevel="0" collapsed="false">
      <c r="A9" s="69" t="s">
        <v>459</v>
      </c>
      <c r="E9" s="220" t="n">
        <v>1</v>
      </c>
      <c r="F9" s="28" t="n">
        <v>4.36975929978118</v>
      </c>
      <c r="G9" s="1" t="s">
        <v>204</v>
      </c>
      <c r="H9" s="1" t="n">
        <f aca="false">E9*F9*$N$2</f>
        <v>4.36975929978118</v>
      </c>
      <c r="I9" s="28" t="n">
        <f aca="false">Z26</f>
        <v>8.45820448</v>
      </c>
      <c r="J9" s="28" t="n">
        <f aca="false">H9*I9</f>
        <v>36.9603176859309</v>
      </c>
      <c r="M9" s="28" t="n">
        <f aca="false">SUM(J9:J15)</f>
        <v>204.732460519803</v>
      </c>
      <c r="R9" s="54" t="s">
        <v>290</v>
      </c>
    </row>
    <row r="10" customFormat="false" ht="15" hidden="false" customHeight="false" outlineLevel="0" collapsed="false">
      <c r="A10" s="69" t="s">
        <v>461</v>
      </c>
      <c r="E10" s="220" t="n">
        <v>1</v>
      </c>
      <c r="F10" s="28" t="n">
        <v>0.0588183807439825</v>
      </c>
      <c r="G10" s="1" t="s">
        <v>204</v>
      </c>
      <c r="H10" s="1" t="n">
        <f aca="false">E10*F10*$N$2</f>
        <v>0.0588183807439825</v>
      </c>
      <c r="I10" s="28" t="n">
        <f aca="false">Z42</f>
        <v>49.40498</v>
      </c>
      <c r="J10" s="28" t="n">
        <f aca="false">H10*I10</f>
        <v>2.90592092428884</v>
      </c>
      <c r="R10" s="1" t="s">
        <v>1374</v>
      </c>
      <c r="V10" s="55" t="s">
        <v>292</v>
      </c>
      <c r="W10" s="56" t="n">
        <v>1</v>
      </c>
      <c r="X10" s="57" t="n">
        <f aca="false">W10*8/$V$7</f>
        <v>0.016</v>
      </c>
      <c r="Y10" s="1" t="n">
        <v>28.94</v>
      </c>
      <c r="Z10" s="28" t="n">
        <f aca="false">X10*Y10</f>
        <v>0.46304</v>
      </c>
    </row>
    <row r="11" customFormat="false" ht="15" hidden="false" customHeight="false" outlineLevel="0" collapsed="false">
      <c r="A11" s="69" t="s">
        <v>463</v>
      </c>
      <c r="E11" s="220" t="n">
        <v>1</v>
      </c>
      <c r="F11" s="28" t="n">
        <v>0.269540481400438</v>
      </c>
      <c r="G11" s="1" t="s">
        <v>204</v>
      </c>
      <c r="H11" s="1" t="n">
        <f aca="false">E11*F11*$N$2</f>
        <v>0.269540481400438</v>
      </c>
      <c r="I11" s="28" t="n">
        <f aca="false">Z53</f>
        <v>66.2342173333333</v>
      </c>
      <c r="J11" s="28" t="n">
        <f aca="false">H11*I11</f>
        <v>17.8528028252079</v>
      </c>
      <c r="R11" s="1" t="s">
        <v>294</v>
      </c>
      <c r="V11" s="55" t="s">
        <v>292</v>
      </c>
      <c r="W11" s="56" t="n">
        <v>3</v>
      </c>
      <c r="X11" s="57" t="n">
        <f aca="false">W11*8/$V$7</f>
        <v>0.048</v>
      </c>
      <c r="Y11" s="1" t="n">
        <v>20.51</v>
      </c>
      <c r="Z11" s="28" t="n">
        <f aca="false">X11*Y11</f>
        <v>0.98448</v>
      </c>
    </row>
    <row r="12" customFormat="false" ht="15" hidden="false" customHeight="false" outlineLevel="0" collapsed="false">
      <c r="A12" s="69" t="s">
        <v>465</v>
      </c>
      <c r="E12" s="220" t="n">
        <v>1</v>
      </c>
      <c r="F12" s="28" t="n">
        <v>2.57973012399708</v>
      </c>
      <c r="G12" s="1" t="s">
        <v>204</v>
      </c>
      <c r="H12" s="1" t="n">
        <f aca="false">E12*F12*$N$2</f>
        <v>2.57973012399708</v>
      </c>
      <c r="I12" s="28" t="n">
        <f aca="false">Z70</f>
        <v>19.29963</v>
      </c>
      <c r="J12" s="28" t="n">
        <f aca="false">H12*I12</f>
        <v>49.7878368929978</v>
      </c>
      <c r="K12" s="158"/>
      <c r="R12" s="1" t="s">
        <v>651</v>
      </c>
      <c r="V12" s="55" t="s">
        <v>292</v>
      </c>
      <c r="W12" s="56" t="n">
        <v>0.1</v>
      </c>
      <c r="X12" s="57" t="n">
        <f aca="false">W12*8/$V$7</f>
        <v>0.0016</v>
      </c>
      <c r="Y12" s="1" t="n">
        <v>34.73</v>
      </c>
      <c r="Z12" s="28" t="n">
        <f aca="false">X12*Y12</f>
        <v>0.055568</v>
      </c>
    </row>
    <row r="13" customFormat="false" ht="15" hidden="false" customHeight="false" outlineLevel="0" collapsed="false">
      <c r="A13" s="69" t="s">
        <v>1379</v>
      </c>
      <c r="E13" s="220" t="n">
        <v>1</v>
      </c>
      <c r="F13" s="28" t="n">
        <v>2.05368344274252</v>
      </c>
      <c r="G13" s="1" t="s">
        <v>134</v>
      </c>
      <c r="H13" s="1" t="n">
        <f aca="false">E13*F13*$N$2</f>
        <v>2.05368344274252</v>
      </c>
      <c r="I13" s="28" t="n">
        <f aca="false">Z87</f>
        <v>7.930344</v>
      </c>
      <c r="J13" s="28" t="n">
        <f aca="false">H13*I13</f>
        <v>16.2864161680525</v>
      </c>
      <c r="Z13" s="53" t="n">
        <f aca="false">SUM(Z10:Z12)</f>
        <v>1.503088</v>
      </c>
    </row>
    <row r="14" customFormat="false" ht="15" hidden="false" customHeight="false" outlineLevel="0" collapsed="false">
      <c r="A14" s="69" t="s">
        <v>469</v>
      </c>
      <c r="E14" s="220" t="n">
        <v>1</v>
      </c>
      <c r="F14" s="28" t="n">
        <v>2.3110594456601</v>
      </c>
      <c r="G14" s="1" t="s">
        <v>134</v>
      </c>
      <c r="H14" s="1" t="n">
        <f aca="false">E14*F14*$N$2</f>
        <v>2.3110594456601</v>
      </c>
      <c r="I14" s="28" t="n">
        <f aca="false">Z102</f>
        <v>12.11253</v>
      </c>
      <c r="J14" s="28" t="n">
        <f aca="false">H14*I14</f>
        <v>27.9927768673414</v>
      </c>
      <c r="K14" s="221"/>
      <c r="R14" s="54" t="s">
        <v>654</v>
      </c>
    </row>
    <row r="15" customFormat="false" ht="15" hidden="false" customHeight="false" outlineLevel="0" collapsed="false">
      <c r="A15" s="69" t="s">
        <v>471</v>
      </c>
      <c r="E15" s="220" t="n">
        <v>1</v>
      </c>
      <c r="F15" s="28" t="n">
        <v>2.3110594456601</v>
      </c>
      <c r="G15" s="1" t="s">
        <v>204</v>
      </c>
      <c r="H15" s="1" t="n">
        <f aca="false">E15*F15*$N$2</f>
        <v>2.3110594456601</v>
      </c>
      <c r="I15" s="28" t="n">
        <f aca="false">Z113</f>
        <v>22.9100074666667</v>
      </c>
      <c r="J15" s="28" t="n">
        <f aca="false">H15*I15</f>
        <v>52.9463891559835</v>
      </c>
      <c r="R15" s="1" t="s">
        <v>302</v>
      </c>
      <c r="V15" s="55" t="s">
        <v>297</v>
      </c>
      <c r="X15" s="57" t="n">
        <v>0.005</v>
      </c>
      <c r="Y15" s="1" t="n">
        <v>5.51</v>
      </c>
      <c r="Z15" s="28" t="n">
        <f aca="false">X15*Y15</f>
        <v>0.02755</v>
      </c>
    </row>
    <row r="16" customFormat="false" ht="15" hidden="false" customHeight="false" outlineLevel="0" collapsed="false">
      <c r="A16" s="26" t="s">
        <v>476</v>
      </c>
      <c r="E16" s="220"/>
      <c r="F16" s="28"/>
      <c r="R16" s="1" t="s">
        <v>1375</v>
      </c>
      <c r="S16" s="222"/>
      <c r="T16" s="222"/>
      <c r="U16" s="222"/>
      <c r="V16" s="55" t="s">
        <v>308</v>
      </c>
      <c r="W16" s="222"/>
      <c r="X16" s="57" t="n">
        <v>0.025</v>
      </c>
      <c r="Y16" s="28" t="n">
        <v>38.9</v>
      </c>
      <c r="Z16" s="28" t="n">
        <f aca="false">X16*Y16</f>
        <v>0.9725</v>
      </c>
    </row>
    <row r="17" customFormat="false" ht="15" hidden="false" customHeight="false" outlineLevel="0" collapsed="false">
      <c r="A17" s="1" t="s">
        <v>484</v>
      </c>
      <c r="E17" s="220" t="n">
        <v>0.92</v>
      </c>
      <c r="F17" s="28" t="n">
        <v>1</v>
      </c>
      <c r="H17" s="1" t="n">
        <f aca="false">E17*F17*$N$2</f>
        <v>0.92</v>
      </c>
      <c r="I17" s="28" t="n">
        <f aca="false">Z126</f>
        <v>238.3435744</v>
      </c>
      <c r="J17" s="28" t="n">
        <f aca="false">H17*I17</f>
        <v>219.276088448</v>
      </c>
      <c r="R17" s="1" t="s">
        <v>309</v>
      </c>
      <c r="V17" s="55" t="s">
        <v>306</v>
      </c>
      <c r="X17" s="57" t="n">
        <v>0.02</v>
      </c>
      <c r="Y17" s="28" t="n">
        <v>5.8</v>
      </c>
      <c r="Z17" s="28" t="n">
        <f aca="false">X17*Y17</f>
        <v>0.116</v>
      </c>
    </row>
    <row r="18" customFormat="false" ht="15" hidden="false" customHeight="false" outlineLevel="0" collapsed="false">
      <c r="A18" s="15" t="s">
        <v>486</v>
      </c>
      <c r="E18" s="220"/>
      <c r="F18" s="28"/>
      <c r="Z18" s="53" t="n">
        <f aca="false">SUM(Z15:Z17)</f>
        <v>1.11605</v>
      </c>
    </row>
    <row r="19" customFormat="false" ht="16.4" hidden="false" customHeight="false" outlineLevel="0" collapsed="false">
      <c r="A19" s="69" t="s">
        <v>488</v>
      </c>
      <c r="B19" s="69"/>
      <c r="C19" s="69"/>
      <c r="D19" s="69"/>
      <c r="E19" s="220" t="n">
        <v>0.98</v>
      </c>
      <c r="F19" s="28" t="n">
        <v>0.884609773887673</v>
      </c>
      <c r="G19" s="1" t="s">
        <v>134</v>
      </c>
      <c r="H19" s="1" t="n">
        <f aca="false">E19*F19*$N$2</f>
        <v>0.86691757840992</v>
      </c>
      <c r="I19" s="223" t="n">
        <f aca="false">Z152</f>
        <v>39.6208818181818</v>
      </c>
      <c r="J19" s="224" t="n">
        <f aca="false">H19*I19</f>
        <v>34.3480389202838</v>
      </c>
      <c r="R19" s="54" t="s">
        <v>310</v>
      </c>
    </row>
    <row r="20" customFormat="false" ht="15" hidden="false" customHeight="false" outlineLevel="0" collapsed="false">
      <c r="A20" s="15" t="s">
        <v>490</v>
      </c>
      <c r="E20" s="220"/>
      <c r="F20" s="28"/>
      <c r="I20" s="158"/>
      <c r="J20" s="28"/>
      <c r="K20" s="158"/>
      <c r="R20" s="1" t="s">
        <v>311</v>
      </c>
      <c r="V20" s="55" t="s">
        <v>312</v>
      </c>
      <c r="X20" s="57" t="n">
        <v>3</v>
      </c>
      <c r="Y20" s="28" t="n">
        <f aca="false">Z13</f>
        <v>1.503088</v>
      </c>
      <c r="Z20" s="28" t="n">
        <f aca="false">X20%*Y20</f>
        <v>0.04509264</v>
      </c>
    </row>
    <row r="21" customFormat="false" ht="16.4" hidden="false" customHeight="false" outlineLevel="0" collapsed="false">
      <c r="A21" s="1" t="s">
        <v>492</v>
      </c>
      <c r="E21" s="220" t="n">
        <v>0.95</v>
      </c>
      <c r="F21" s="28" t="n">
        <v>0.0510576221735959</v>
      </c>
      <c r="G21" s="1" t="s">
        <v>134</v>
      </c>
      <c r="H21" s="1" t="n">
        <f aca="false">E21*F21*$N$2</f>
        <v>0.0485047410649161</v>
      </c>
      <c r="I21" s="208" t="n">
        <f aca="false">Z171</f>
        <v>27.126394</v>
      </c>
      <c r="J21" s="28" t="n">
        <f aca="false">H21*I21</f>
        <v>1.31575871699489</v>
      </c>
      <c r="K21" s="221"/>
      <c r="R21" s="1" t="s">
        <v>1376</v>
      </c>
      <c r="V21" s="55" t="s">
        <v>338</v>
      </c>
      <c r="W21" s="56" t="n">
        <v>1</v>
      </c>
      <c r="X21" s="57" t="n">
        <f aca="false">W21*8/$V$7</f>
        <v>0.016</v>
      </c>
      <c r="Y21" s="28" t="n">
        <v>9.69</v>
      </c>
      <c r="Z21" s="28" t="n">
        <f aca="false">X21*Y21</f>
        <v>0.15504</v>
      </c>
    </row>
    <row r="22" customFormat="false" ht="15" hidden="false" customHeight="false" outlineLevel="0" collapsed="false">
      <c r="A22" s="15" t="s">
        <v>1373</v>
      </c>
      <c r="E22" s="220"/>
      <c r="F22" s="28"/>
      <c r="I22" s="158"/>
      <c r="J22" s="28"/>
      <c r="K22" s="221"/>
      <c r="R22" s="1" t="s">
        <v>1377</v>
      </c>
      <c r="V22" s="55" t="s">
        <v>145</v>
      </c>
      <c r="X22" s="1" t="n">
        <v>0.008</v>
      </c>
      <c r="Y22" s="57" t="n">
        <v>10</v>
      </c>
      <c r="Z22" s="28" t="n">
        <f aca="false">X22*Y22</f>
        <v>0.08</v>
      </c>
    </row>
    <row r="23" customFormat="false" ht="15" hidden="false" customHeight="false" outlineLevel="0" collapsed="false">
      <c r="A23" s="15" t="s">
        <v>495</v>
      </c>
      <c r="E23" s="220"/>
      <c r="F23" s="28"/>
      <c r="I23" s="158"/>
      <c r="J23" s="28"/>
      <c r="Q23" s="60"/>
      <c r="R23" s="60"/>
      <c r="S23" s="60"/>
      <c r="T23" s="60"/>
      <c r="U23" s="60"/>
      <c r="V23" s="60"/>
      <c r="W23" s="60"/>
      <c r="X23" s="60"/>
      <c r="Y23" s="80"/>
      <c r="Z23" s="61" t="n">
        <f aca="false">SUM(Z20:Z22)</f>
        <v>0.28013264</v>
      </c>
    </row>
    <row r="24" customFormat="false" ht="16.4" hidden="false" customHeight="false" outlineLevel="0" collapsed="false">
      <c r="A24" s="1" t="s">
        <v>497</v>
      </c>
      <c r="E24" s="220" t="n">
        <v>0.93</v>
      </c>
      <c r="F24" s="28" t="n">
        <v>0.632312180889861</v>
      </c>
      <c r="G24" s="1" t="s">
        <v>204</v>
      </c>
      <c r="H24" s="1" t="n">
        <f aca="false">E24*F24*$N$2</f>
        <v>0.588050328227571</v>
      </c>
      <c r="I24" s="208" t="n">
        <f aca="false">Z190</f>
        <v>426.397544</v>
      </c>
      <c r="J24" s="28" t="n">
        <f aca="false">H24*I24</f>
        <v>250.74321570463</v>
      </c>
    </row>
    <row r="25" customFormat="false" ht="16.4" hidden="false" customHeight="false" outlineLevel="0" collapsed="false">
      <c r="A25" s="1" t="s">
        <v>499</v>
      </c>
      <c r="E25" s="220" t="n">
        <v>0.85</v>
      </c>
      <c r="F25" s="28"/>
      <c r="G25" s="158" t="s">
        <v>297</v>
      </c>
      <c r="H25" s="1" t="n">
        <f aca="false">H24*40*E25</f>
        <v>19.9937111597374</v>
      </c>
      <c r="I25" s="208" t="n">
        <f aca="false">Z229</f>
        <v>5.5639628445</v>
      </c>
      <c r="J25" s="28" t="n">
        <f aca="false">H25*I25</f>
        <v>111.244266016444</v>
      </c>
      <c r="Q25" s="14" t="s">
        <v>278</v>
      </c>
      <c r="R25" s="14"/>
      <c r="S25" s="14" t="s">
        <v>459</v>
      </c>
      <c r="T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customFormat="false" ht="15" hidden="false" customHeight="false" outlineLevel="0" collapsed="false">
      <c r="A26" s="226" t="s">
        <v>509</v>
      </c>
      <c r="E26" s="220"/>
      <c r="F26" s="28"/>
      <c r="G26" s="158"/>
      <c r="I26" s="158"/>
      <c r="J26" s="28"/>
      <c r="K26" s="158"/>
      <c r="L26" s="1" t="n">
        <f aca="false">H25/H24</f>
        <v>34</v>
      </c>
      <c r="Q26" s="14" t="s">
        <v>279</v>
      </c>
      <c r="R26" s="14" t="s">
        <v>417</v>
      </c>
      <c r="S26" s="36" t="s">
        <v>281</v>
      </c>
      <c r="T26" s="52" t="n">
        <v>250</v>
      </c>
      <c r="U26" s="36" t="s">
        <v>282</v>
      </c>
      <c r="V26" s="52" t="n">
        <f aca="false">T26</f>
        <v>250</v>
      </c>
      <c r="W26" s="14" t="s">
        <v>283</v>
      </c>
      <c r="Y26" s="36" t="s">
        <v>204</v>
      </c>
      <c r="Z26" s="53" t="n">
        <f aca="false">Z32+Z36</f>
        <v>8.45820448</v>
      </c>
      <c r="AC26" s="14"/>
      <c r="AD26" s="14"/>
      <c r="AE26" s="36"/>
      <c r="AF26" s="52"/>
      <c r="AG26" s="36"/>
      <c r="AH26" s="52"/>
      <c r="AI26" s="14"/>
      <c r="AK26" s="36"/>
      <c r="AL26" s="53"/>
    </row>
    <row r="27" customFormat="false" ht="16.4" hidden="false" customHeight="false" outlineLevel="0" collapsed="false">
      <c r="A27" s="1" t="s">
        <v>511</v>
      </c>
      <c r="E27" s="220" t="n">
        <v>0.95</v>
      </c>
      <c r="F27" s="28" t="n">
        <v>0.120204230488694</v>
      </c>
      <c r="G27" s="158" t="s">
        <v>204</v>
      </c>
      <c r="H27" s="1" t="n">
        <f aca="false">E27*F27*$N$2</f>
        <v>0.11419401896426</v>
      </c>
      <c r="I27" s="208" t="n">
        <f aca="false">Z245</f>
        <v>438.22652</v>
      </c>
      <c r="J27" s="28" t="n">
        <f aca="false">H27*I27</f>
        <v>50.0428475355215</v>
      </c>
      <c r="Q27" s="14" t="s">
        <v>284</v>
      </c>
      <c r="R27" s="14" t="s">
        <v>285</v>
      </c>
      <c r="V27" s="36" t="s">
        <v>123</v>
      </c>
      <c r="W27" s="36" t="s">
        <v>286</v>
      </c>
      <c r="X27" s="36" t="s">
        <v>287</v>
      </c>
      <c r="Y27" s="36" t="s">
        <v>288</v>
      </c>
      <c r="Z27" s="36" t="s">
        <v>289</v>
      </c>
      <c r="AC27" s="14"/>
      <c r="AD27" s="14"/>
      <c r="AH27" s="36"/>
      <c r="AI27" s="36"/>
      <c r="AJ27" s="36"/>
      <c r="AK27" s="36"/>
      <c r="AL27" s="36"/>
    </row>
    <row r="28" customFormat="false" ht="16.4" hidden="false" customHeight="false" outlineLevel="0" collapsed="false">
      <c r="A28" s="1" t="s">
        <v>513</v>
      </c>
      <c r="E28" s="220" t="n">
        <v>0.97</v>
      </c>
      <c r="F28" s="28" t="n">
        <v>0.6490882567469</v>
      </c>
      <c r="G28" s="158" t="s">
        <v>134</v>
      </c>
      <c r="H28" s="1" t="n">
        <f aca="false">E28*F28*$N$2</f>
        <v>0.629615609044493</v>
      </c>
      <c r="I28" s="208" t="n">
        <f aca="false">Z267</f>
        <v>64.02696</v>
      </c>
      <c r="J28" s="28" t="n">
        <f aca="false">H28*I28</f>
        <v>40.3123734156674</v>
      </c>
      <c r="R28" s="54" t="s">
        <v>290</v>
      </c>
      <c r="AD28" s="54"/>
    </row>
    <row r="29" customFormat="false" ht="16.4" hidden="false" customHeight="false" outlineLevel="0" collapsed="false">
      <c r="A29" s="1" t="s">
        <v>515</v>
      </c>
      <c r="E29" s="220" t="n">
        <v>0.85</v>
      </c>
      <c r="F29" s="28"/>
      <c r="G29" s="158" t="s">
        <v>297</v>
      </c>
      <c r="H29" s="1" t="n">
        <f aca="false">H27*50*E29</f>
        <v>4.85324580598104</v>
      </c>
      <c r="I29" s="208" t="n">
        <f aca="false">Z283</f>
        <v>5.5639628445</v>
      </c>
      <c r="J29" s="28" t="n">
        <f aca="false">H29*I29</f>
        <v>27.0032793397039</v>
      </c>
      <c r="R29" s="1" t="s">
        <v>651</v>
      </c>
      <c r="V29" s="55" t="s">
        <v>292</v>
      </c>
      <c r="W29" s="56" t="n">
        <v>0.1</v>
      </c>
      <c r="X29" s="57" t="n">
        <f aca="false">W29*8/$V$26</f>
        <v>0.0032</v>
      </c>
      <c r="Y29" s="1" t="n">
        <v>34.73</v>
      </c>
      <c r="Z29" s="28" t="n">
        <f aca="false">X29*Y29</f>
        <v>0.111136</v>
      </c>
      <c r="AH29" s="55"/>
      <c r="AI29" s="56"/>
      <c r="AJ29" s="57"/>
      <c r="AL29" s="28"/>
    </row>
    <row r="30" customFormat="false" ht="15" hidden="false" customHeight="false" outlineLevel="0" collapsed="false">
      <c r="A30" s="26" t="s">
        <v>517</v>
      </c>
      <c r="B30" s="14"/>
      <c r="E30" s="220"/>
      <c r="F30" s="28"/>
      <c r="I30" s="158"/>
      <c r="J30" s="28"/>
      <c r="R30" s="1" t="s">
        <v>291</v>
      </c>
      <c r="V30" s="55" t="s">
        <v>292</v>
      </c>
      <c r="W30" s="56" t="n">
        <v>2</v>
      </c>
      <c r="X30" s="57" t="n">
        <f aca="false">W30*8/$V$26</f>
        <v>0.064</v>
      </c>
      <c r="Y30" s="28" t="n">
        <v>28.94</v>
      </c>
      <c r="Z30" s="28" t="n">
        <f aca="false">X30*Y30</f>
        <v>1.85216</v>
      </c>
      <c r="AH30" s="55"/>
      <c r="AI30" s="56"/>
      <c r="AJ30" s="57"/>
      <c r="AL30" s="28"/>
    </row>
    <row r="31" customFormat="false" ht="15" hidden="false" customHeight="false" outlineLevel="0" collapsed="false">
      <c r="A31" s="1" t="s">
        <v>519</v>
      </c>
      <c r="E31" s="220" t="n">
        <v>0.91</v>
      </c>
      <c r="F31" s="28" t="n">
        <v>0.0833698030634573</v>
      </c>
      <c r="G31" s="1" t="s">
        <v>204</v>
      </c>
      <c r="H31" s="1" t="n">
        <f aca="false">E31*F31*$N$2</f>
        <v>0.0758665207877462</v>
      </c>
      <c r="I31" s="28" t="n">
        <f aca="false">Z301</f>
        <v>424.9218</v>
      </c>
      <c r="J31" s="28" t="n">
        <f aca="false">H31*I31</f>
        <v>32.2373385728665</v>
      </c>
      <c r="R31" s="1" t="s">
        <v>294</v>
      </c>
      <c r="V31" s="55" t="s">
        <v>292</v>
      </c>
      <c r="W31" s="56" t="n">
        <v>1</v>
      </c>
      <c r="X31" s="57" t="n">
        <f aca="false">W31*8/$V$26</f>
        <v>0.032</v>
      </c>
      <c r="Y31" s="1" t="n">
        <v>20.51</v>
      </c>
      <c r="Z31" s="28" t="n">
        <f aca="false">X31*Y31</f>
        <v>0.65632</v>
      </c>
      <c r="AL31" s="53"/>
    </row>
    <row r="32" customFormat="false" ht="15" hidden="false" customHeight="false" outlineLevel="0" collapsed="false">
      <c r="A32" s="1" t="s">
        <v>521</v>
      </c>
      <c r="E32" s="220" t="n">
        <v>0.93</v>
      </c>
      <c r="F32" s="28" t="n">
        <v>0.416849015317287</v>
      </c>
      <c r="G32" s="1" t="s">
        <v>134</v>
      </c>
      <c r="H32" s="1" t="n">
        <f aca="false">E32*F32*$N$2</f>
        <v>0.387669584245077</v>
      </c>
      <c r="I32" s="28" t="n">
        <f aca="false">Z322</f>
        <v>42.64448</v>
      </c>
      <c r="J32" s="28" t="n">
        <f aca="false">H32*I32</f>
        <v>16.5319678319475</v>
      </c>
      <c r="Z32" s="53" t="n">
        <f aca="false">SUM(Z29:Z31)</f>
        <v>2.619616</v>
      </c>
      <c r="AD32" s="54"/>
    </row>
    <row r="33" customFormat="false" ht="15" hidden="false" customHeight="false" outlineLevel="0" collapsed="false">
      <c r="A33" s="1" t="s">
        <v>523</v>
      </c>
      <c r="E33" s="220" t="n">
        <v>0.78</v>
      </c>
      <c r="F33" s="28"/>
      <c r="G33" s="1" t="s">
        <v>297</v>
      </c>
      <c r="H33" s="1" t="n">
        <f aca="false">H31*120*E33</f>
        <v>7.10110634573304</v>
      </c>
      <c r="I33" s="28" t="n">
        <f aca="false">Z338</f>
        <v>5.5639628445</v>
      </c>
      <c r="J33" s="28" t="n">
        <f aca="false">H33*I33</f>
        <v>39.5102918625018</v>
      </c>
      <c r="R33" s="54" t="s">
        <v>310</v>
      </c>
      <c r="AH33" s="55"/>
      <c r="AJ33" s="57"/>
      <c r="AK33" s="28"/>
      <c r="AL33" s="28"/>
    </row>
    <row r="34" customFormat="false" ht="15" hidden="false" customHeight="false" outlineLevel="0" collapsed="false">
      <c r="R34" s="1" t="s">
        <v>311</v>
      </c>
      <c r="V34" s="55" t="s">
        <v>312</v>
      </c>
      <c r="X34" s="57" t="n">
        <v>3</v>
      </c>
      <c r="Y34" s="28" t="n">
        <f aca="false">Z32</f>
        <v>2.619616</v>
      </c>
      <c r="Z34" s="28" t="n">
        <f aca="false">X34%*Y34</f>
        <v>0.07858848</v>
      </c>
    </row>
    <row r="35" customFormat="false" ht="15" hidden="false" customHeight="false" outlineLevel="0" collapsed="false">
      <c r="R35" s="1" t="s">
        <v>652</v>
      </c>
      <c r="V35" s="55" t="s">
        <v>338</v>
      </c>
      <c r="W35" s="56" t="n">
        <v>1</v>
      </c>
      <c r="X35" s="57" t="n">
        <f aca="false">W35*8/$V$26</f>
        <v>0.032</v>
      </c>
      <c r="Y35" s="1" t="n">
        <v>180</v>
      </c>
      <c r="Z35" s="28" t="n">
        <f aca="false">X35*Y35</f>
        <v>5.76</v>
      </c>
    </row>
    <row r="36" customFormat="false" ht="15" hidden="false" customHeight="false" outlineLevel="0" collapsed="false">
      <c r="Q36" s="60"/>
      <c r="R36" s="60"/>
      <c r="S36" s="60"/>
      <c r="T36" s="60"/>
      <c r="U36" s="60"/>
      <c r="V36" s="60"/>
      <c r="W36" s="60"/>
      <c r="X36" s="60"/>
      <c r="Y36" s="60"/>
      <c r="Z36" s="61" t="n">
        <f aca="false">SUM(Z34:Z35)</f>
        <v>5.83858848</v>
      </c>
    </row>
    <row r="37" customFormat="false" ht="15" hidden="false" customHeight="false" outlineLevel="0" collapsed="false">
      <c r="A37" s="69"/>
      <c r="G37" s="227"/>
      <c r="H37" s="227"/>
      <c r="I37" s="208"/>
      <c r="R37" s="54"/>
      <c r="V37" s="55"/>
      <c r="W37" s="56"/>
      <c r="X37" s="57"/>
    </row>
    <row r="38" customFormat="false" ht="15" hidden="false" customHeight="false" outlineLevel="0" collapsed="false">
      <c r="Y38" s="28"/>
      <c r="Z38" s="28"/>
    </row>
    <row r="39" customFormat="false" ht="15" hidden="false" customHeight="false" outlineLevel="0" collapsed="false">
      <c r="G39" s="158"/>
      <c r="H39" s="158"/>
      <c r="I39" s="208"/>
      <c r="Y39" s="14"/>
      <c r="Z39" s="53"/>
    </row>
    <row r="40" customFormat="false" ht="15" hidden="false" customHeight="false" outlineLevel="0" collapsed="false">
      <c r="G40" s="158"/>
      <c r="H40" s="158"/>
      <c r="I40" s="208"/>
    </row>
    <row r="41" customFormat="false" ht="15" hidden="false" customHeight="false" outlineLevel="0" collapsed="false">
      <c r="Q41" s="14" t="s">
        <v>278</v>
      </c>
      <c r="R41" s="14"/>
      <c r="S41" s="14" t="s">
        <v>461</v>
      </c>
      <c r="T41" s="14"/>
    </row>
    <row r="42" customFormat="false" ht="15" hidden="false" customHeight="false" outlineLevel="0" collapsed="false">
      <c r="Q42" s="14" t="s">
        <v>279</v>
      </c>
      <c r="R42" s="14" t="s">
        <v>417</v>
      </c>
      <c r="S42" s="36" t="s">
        <v>281</v>
      </c>
      <c r="T42" s="52" t="n">
        <v>4</v>
      </c>
      <c r="U42" s="36" t="s">
        <v>282</v>
      </c>
      <c r="V42" s="52" t="n">
        <f aca="false">T42</f>
        <v>4</v>
      </c>
      <c r="W42" s="14" t="s">
        <v>283</v>
      </c>
      <c r="Y42" s="36" t="s">
        <v>204</v>
      </c>
      <c r="Z42" s="53" t="n">
        <f aca="false">Z47+Z50</f>
        <v>49.40498</v>
      </c>
    </row>
    <row r="43" customFormat="false" ht="15" hidden="false" customHeight="false" outlineLevel="0" collapsed="false">
      <c r="Q43" s="14" t="s">
        <v>284</v>
      </c>
      <c r="R43" s="14" t="s">
        <v>285</v>
      </c>
      <c r="V43" s="36" t="s">
        <v>123</v>
      </c>
      <c r="W43" s="36" t="s">
        <v>286</v>
      </c>
      <c r="X43" s="36" t="s">
        <v>287</v>
      </c>
      <c r="Y43" s="36" t="s">
        <v>288</v>
      </c>
      <c r="Z43" s="36" t="s">
        <v>289</v>
      </c>
    </row>
    <row r="44" customFormat="false" ht="15" hidden="false" customHeight="false" outlineLevel="0" collapsed="false">
      <c r="R44" s="54" t="s">
        <v>290</v>
      </c>
    </row>
    <row r="45" customFormat="false" ht="15" hidden="false" customHeight="false" outlineLevel="0" collapsed="false">
      <c r="R45" s="1" t="s">
        <v>651</v>
      </c>
      <c r="V45" s="55" t="s">
        <v>292</v>
      </c>
      <c r="W45" s="56" t="n">
        <v>0.1</v>
      </c>
      <c r="X45" s="57" t="n">
        <f aca="false">W45*8/$V$42</f>
        <v>0.2</v>
      </c>
      <c r="Y45" s="1" t="n">
        <v>34.73</v>
      </c>
      <c r="Z45" s="28" t="n">
        <f aca="false">X45*Y45</f>
        <v>6.946</v>
      </c>
    </row>
    <row r="46" customFormat="false" ht="15" hidden="false" customHeight="false" outlineLevel="0" collapsed="false">
      <c r="R46" s="1" t="s">
        <v>294</v>
      </c>
      <c r="V46" s="55" t="s">
        <v>292</v>
      </c>
      <c r="W46" s="56" t="n">
        <v>1</v>
      </c>
      <c r="X46" s="57" t="n">
        <f aca="false">W46*8/$V$42</f>
        <v>2</v>
      </c>
      <c r="Y46" s="1" t="n">
        <v>20.51</v>
      </c>
      <c r="Z46" s="28" t="n">
        <f aca="false">X46*Y46</f>
        <v>41.02</v>
      </c>
    </row>
    <row r="47" customFormat="false" ht="15" hidden="false" customHeight="false" outlineLevel="0" collapsed="false">
      <c r="V47" s="55"/>
      <c r="W47" s="56"/>
      <c r="X47" s="57"/>
      <c r="Z47" s="53" t="n">
        <f aca="false">SUM(Z45:Z46)</f>
        <v>47.966</v>
      </c>
    </row>
    <row r="48" customFormat="false" ht="15" hidden="false" customHeight="false" outlineLevel="0" collapsed="false">
      <c r="R48" s="54" t="s">
        <v>310</v>
      </c>
    </row>
    <row r="49" customFormat="false" ht="15" hidden="false" customHeight="false" outlineLevel="0" collapsed="false">
      <c r="R49" s="1" t="s">
        <v>311</v>
      </c>
      <c r="V49" s="55" t="s">
        <v>312</v>
      </c>
      <c r="X49" s="57" t="n">
        <v>3</v>
      </c>
      <c r="Y49" s="28" t="n">
        <f aca="false">Z47</f>
        <v>47.966</v>
      </c>
      <c r="Z49" s="28" t="n">
        <f aca="false">X49%*Y49</f>
        <v>1.43898</v>
      </c>
    </row>
    <row r="50" customFormat="false" ht="15" hidden="false" customHeight="false" outlineLevel="0" collapsed="false">
      <c r="Q50" s="60"/>
      <c r="R50" s="60"/>
      <c r="S50" s="60"/>
      <c r="T50" s="60"/>
      <c r="U50" s="60"/>
      <c r="V50" s="60"/>
      <c r="W50" s="60"/>
      <c r="X50" s="60"/>
      <c r="Y50" s="80"/>
      <c r="Z50" s="61" t="n">
        <f aca="false">SUM(Z49)</f>
        <v>1.43898</v>
      </c>
    </row>
    <row r="52" customFormat="false" ht="15" hidden="false" customHeight="false" outlineLevel="0" collapsed="false">
      <c r="Q52" s="14" t="s">
        <v>278</v>
      </c>
      <c r="R52" s="14"/>
      <c r="S52" s="14" t="s">
        <v>463</v>
      </c>
      <c r="T52" s="14"/>
    </row>
    <row r="53" customFormat="false" ht="15" hidden="false" customHeight="false" outlineLevel="0" collapsed="false">
      <c r="Q53" s="14" t="s">
        <v>279</v>
      </c>
      <c r="R53" s="14" t="s">
        <v>417</v>
      </c>
      <c r="S53" s="36" t="s">
        <v>281</v>
      </c>
      <c r="T53" s="52" t="n">
        <v>30</v>
      </c>
      <c r="U53" s="36" t="s">
        <v>282</v>
      </c>
      <c r="V53" s="52" t="n">
        <f aca="false">T53</f>
        <v>30</v>
      </c>
      <c r="W53" s="14" t="s">
        <v>283</v>
      </c>
      <c r="Y53" s="36" t="s">
        <v>204</v>
      </c>
      <c r="Z53" s="53" t="n">
        <f aca="false">Z59+Z63+Z67</f>
        <v>66.2342173333333</v>
      </c>
    </row>
    <row r="54" customFormat="false" ht="15" hidden="false" customHeight="false" outlineLevel="0" collapsed="false">
      <c r="Q54" s="14" t="s">
        <v>284</v>
      </c>
      <c r="R54" s="14" t="s">
        <v>285</v>
      </c>
      <c r="V54" s="36" t="s">
        <v>123</v>
      </c>
      <c r="W54" s="36" t="s">
        <v>286</v>
      </c>
      <c r="X54" s="36" t="s">
        <v>287</v>
      </c>
      <c r="Y54" s="36" t="s">
        <v>288</v>
      </c>
      <c r="Z54" s="36" t="s">
        <v>289</v>
      </c>
    </row>
    <row r="55" customFormat="false" ht="15" hidden="false" customHeight="false" outlineLevel="0" collapsed="false">
      <c r="R55" s="54" t="s">
        <v>290</v>
      </c>
    </row>
    <row r="56" customFormat="false" ht="15" hidden="false" customHeight="false" outlineLevel="0" collapsed="false">
      <c r="R56" s="1" t="s">
        <v>651</v>
      </c>
      <c r="V56" s="55" t="s">
        <v>292</v>
      </c>
      <c r="W56" s="56" t="n">
        <v>0.1</v>
      </c>
      <c r="X56" s="57" t="n">
        <f aca="false">W56*8/$V$53</f>
        <v>0.0266666666666667</v>
      </c>
      <c r="Y56" s="1" t="n">
        <v>34.73</v>
      </c>
      <c r="Z56" s="28" t="n">
        <f aca="false">X56*Y56</f>
        <v>0.926133333333333</v>
      </c>
    </row>
    <row r="57" customFormat="false" ht="15" hidden="false" customHeight="false" outlineLevel="0" collapsed="false">
      <c r="R57" s="1" t="s">
        <v>294</v>
      </c>
      <c r="V57" s="55" t="s">
        <v>292</v>
      </c>
      <c r="W57" s="56" t="n">
        <v>1</v>
      </c>
      <c r="X57" s="57" t="n">
        <f aca="false">W57*8/$V$53</f>
        <v>0.266666666666667</v>
      </c>
      <c r="Y57" s="1" t="n">
        <v>20.51</v>
      </c>
      <c r="Z57" s="28" t="n">
        <f aca="false">X57*Y57</f>
        <v>5.46933333333333</v>
      </c>
    </row>
    <row r="58" customFormat="false" ht="15" hidden="false" customHeight="false" outlineLevel="0" collapsed="false">
      <c r="R58" s="1" t="s">
        <v>653</v>
      </c>
      <c r="V58" s="55" t="s">
        <v>292</v>
      </c>
      <c r="W58" s="56" t="n">
        <v>1</v>
      </c>
      <c r="X58" s="57" t="n">
        <f aca="false">W58*8/$V$53</f>
        <v>0.266666666666667</v>
      </c>
      <c r="Y58" s="1" t="n">
        <v>29.94</v>
      </c>
      <c r="Z58" s="28" t="n">
        <f aca="false">X58*Y58</f>
        <v>7.984</v>
      </c>
    </row>
    <row r="59" customFormat="false" ht="15" hidden="false" customHeight="false" outlineLevel="0" collapsed="false">
      <c r="V59" s="55"/>
      <c r="W59" s="56"/>
      <c r="X59" s="57"/>
      <c r="Z59" s="53" t="n">
        <f aca="false">SUM(Z56:Z58)</f>
        <v>14.3794666666667</v>
      </c>
    </row>
    <row r="60" customFormat="false" ht="15" hidden="false" customHeight="false" outlineLevel="0" collapsed="false">
      <c r="R60" s="54" t="s">
        <v>654</v>
      </c>
      <c r="V60" s="55"/>
      <c r="W60" s="56"/>
      <c r="X60" s="57"/>
      <c r="Z60" s="28"/>
    </row>
    <row r="61" customFormat="false" ht="15" hidden="false" customHeight="false" outlineLevel="0" collapsed="false">
      <c r="R61" s="1" t="s">
        <v>655</v>
      </c>
      <c r="V61" s="55" t="s">
        <v>204</v>
      </c>
      <c r="W61" s="56"/>
      <c r="X61" s="57" t="n">
        <v>1.05</v>
      </c>
      <c r="Y61" s="46" t="n">
        <v>44.07</v>
      </c>
      <c r="Z61" s="28" t="n">
        <f aca="false">X61*Y61</f>
        <v>46.2735</v>
      </c>
    </row>
    <row r="62" customFormat="false" ht="15" hidden="false" customHeight="false" outlineLevel="0" collapsed="false">
      <c r="R62" s="1" t="s">
        <v>656</v>
      </c>
      <c r="V62" s="55" t="s">
        <v>204</v>
      </c>
      <c r="W62" s="56"/>
      <c r="X62" s="57" t="n">
        <v>0.08</v>
      </c>
      <c r="Y62" s="1" t="n">
        <v>6.14</v>
      </c>
      <c r="Z62" s="28" t="n">
        <f aca="false">X62*Y62</f>
        <v>0.4912</v>
      </c>
    </row>
    <row r="63" customFormat="false" ht="15" hidden="false" customHeight="false" outlineLevel="0" collapsed="false">
      <c r="V63" s="55"/>
      <c r="X63" s="57"/>
      <c r="Z63" s="53" t="n">
        <f aca="false">SUM(Z61:Z62)</f>
        <v>46.7647</v>
      </c>
    </row>
    <row r="64" customFormat="false" ht="15" hidden="false" customHeight="false" outlineLevel="0" collapsed="false">
      <c r="R64" s="54" t="s">
        <v>310</v>
      </c>
    </row>
    <row r="65" customFormat="false" ht="15" hidden="false" customHeight="false" outlineLevel="0" collapsed="false">
      <c r="R65" s="1" t="s">
        <v>311</v>
      </c>
      <c r="V65" s="55" t="s">
        <v>312</v>
      </c>
      <c r="X65" s="57" t="n">
        <v>3</v>
      </c>
      <c r="Y65" s="28" t="n">
        <f aca="false">Z59</f>
        <v>14.3794666666667</v>
      </c>
      <c r="Z65" s="28" t="n">
        <f aca="false">X65%*Y65</f>
        <v>0.431384</v>
      </c>
    </row>
    <row r="66" customFormat="false" ht="15" hidden="false" customHeight="false" outlineLevel="0" collapsed="false">
      <c r="R66" s="1" t="s">
        <v>657</v>
      </c>
      <c r="V66" s="55" t="s">
        <v>338</v>
      </c>
      <c r="W66" s="56" t="n">
        <v>1</v>
      </c>
      <c r="X66" s="57" t="n">
        <f aca="false">W66*8/$V$53</f>
        <v>0.266666666666667</v>
      </c>
      <c r="Y66" s="1" t="n">
        <v>17.47</v>
      </c>
      <c r="Z66" s="28" t="n">
        <f aca="false">X66*Y66</f>
        <v>4.65866666666667</v>
      </c>
    </row>
    <row r="67" customFormat="false" ht="15" hidden="false" customHeight="false" outlineLevel="0" collapsed="false">
      <c r="Q67" s="60"/>
      <c r="R67" s="60"/>
      <c r="S67" s="60"/>
      <c r="T67" s="60"/>
      <c r="U67" s="60"/>
      <c r="V67" s="60"/>
      <c r="W67" s="60"/>
      <c r="X67" s="60"/>
      <c r="Y67" s="80"/>
      <c r="Z67" s="61" t="n">
        <f aca="false">SUM(Z65:Z66)</f>
        <v>5.09005066666667</v>
      </c>
    </row>
    <row r="69" customFormat="false" ht="15" hidden="false" customHeight="false" outlineLevel="0" collapsed="false">
      <c r="Q69" s="14" t="s">
        <v>278</v>
      </c>
      <c r="R69" s="14"/>
      <c r="S69" s="14" t="s">
        <v>465</v>
      </c>
      <c r="T69" s="14"/>
    </row>
    <row r="70" customFormat="false" ht="15" hidden="false" customHeight="false" outlineLevel="0" collapsed="false">
      <c r="Q70" s="14" t="s">
        <v>279</v>
      </c>
      <c r="R70" s="14" t="s">
        <v>417</v>
      </c>
      <c r="S70" s="36" t="s">
        <v>281</v>
      </c>
      <c r="T70" s="52" t="n">
        <v>40</v>
      </c>
      <c r="U70" s="36" t="s">
        <v>282</v>
      </c>
      <c r="V70" s="52" t="n">
        <f aca="false">T70</f>
        <v>40</v>
      </c>
      <c r="W70" s="14" t="s">
        <v>283</v>
      </c>
      <c r="Y70" s="36" t="s">
        <v>204</v>
      </c>
      <c r="Z70" s="53" t="n">
        <f aca="false">Z76+Z84</f>
        <v>19.29963</v>
      </c>
    </row>
    <row r="71" customFormat="false" ht="15" hidden="false" customHeight="false" outlineLevel="0" collapsed="false">
      <c r="Q71" s="14" t="s">
        <v>284</v>
      </c>
      <c r="R71" s="14" t="s">
        <v>285</v>
      </c>
      <c r="V71" s="36" t="s">
        <v>123</v>
      </c>
      <c r="W71" s="36" t="s">
        <v>286</v>
      </c>
      <c r="X71" s="36" t="s">
        <v>287</v>
      </c>
      <c r="Y71" s="36" t="s">
        <v>288</v>
      </c>
      <c r="Z71" s="36" t="s">
        <v>289</v>
      </c>
    </row>
    <row r="72" customFormat="false" ht="15" hidden="false" customHeight="false" outlineLevel="0" collapsed="false">
      <c r="R72" s="54" t="s">
        <v>290</v>
      </c>
    </row>
    <row r="73" customFormat="false" ht="15" hidden="false" customHeight="false" outlineLevel="0" collapsed="false">
      <c r="R73" s="1" t="s">
        <v>651</v>
      </c>
      <c r="V73" s="55" t="s">
        <v>292</v>
      </c>
      <c r="W73" s="56" t="n">
        <v>0.1</v>
      </c>
      <c r="X73" s="57" t="n">
        <f aca="false">W73*8/$V$70</f>
        <v>0.02</v>
      </c>
      <c r="Y73" s="1" t="n">
        <v>34.73</v>
      </c>
      <c r="Z73" s="28" t="n">
        <f aca="false">X73*Y73</f>
        <v>0.6946</v>
      </c>
    </row>
    <row r="74" customFormat="false" ht="15" hidden="false" customHeight="false" outlineLevel="0" collapsed="false">
      <c r="R74" s="1" t="s">
        <v>294</v>
      </c>
      <c r="V74" s="55" t="s">
        <v>292</v>
      </c>
      <c r="W74" s="56" t="n">
        <v>2</v>
      </c>
      <c r="X74" s="57" t="n">
        <f aca="false">W74*8/$V$70</f>
        <v>0.4</v>
      </c>
      <c r="Y74" s="1" t="n">
        <v>20.51</v>
      </c>
      <c r="Z74" s="28" t="n">
        <f aca="false">X74*Y74</f>
        <v>8.204</v>
      </c>
    </row>
    <row r="75" customFormat="false" ht="15" hidden="false" customHeight="false" outlineLevel="0" collapsed="false">
      <c r="R75" s="1" t="s">
        <v>653</v>
      </c>
      <c r="V75" s="55" t="s">
        <v>292</v>
      </c>
      <c r="W75" s="56" t="n">
        <v>1</v>
      </c>
      <c r="X75" s="57" t="n">
        <f aca="false">W75*8/$V$70</f>
        <v>0.2</v>
      </c>
      <c r="Y75" s="1" t="n">
        <v>29.94</v>
      </c>
      <c r="Z75" s="28" t="n">
        <f aca="false">X75*Y75</f>
        <v>5.988</v>
      </c>
    </row>
    <row r="76" customFormat="false" ht="15" hidden="false" customHeight="false" outlineLevel="0" collapsed="false">
      <c r="Z76" s="53" t="n">
        <f aca="false">SUM(Z73:Z75)</f>
        <v>14.8866</v>
      </c>
    </row>
    <row r="77" customFormat="false" ht="15" hidden="false" customHeight="false" outlineLevel="0" collapsed="false">
      <c r="R77" s="54" t="s">
        <v>654</v>
      </c>
      <c r="V77" s="55"/>
      <c r="W77" s="56"/>
      <c r="X77" s="57"/>
      <c r="Z77" s="28"/>
    </row>
    <row r="78" customFormat="false" ht="15" hidden="false" customHeight="false" outlineLevel="0" collapsed="false">
      <c r="R78" s="1" t="s">
        <v>656</v>
      </c>
      <c r="V78" s="55" t="s">
        <v>204</v>
      </c>
      <c r="W78" s="56"/>
      <c r="X78" s="57" t="n">
        <v>0.08</v>
      </c>
      <c r="Y78" s="1" t="n">
        <v>6.14</v>
      </c>
      <c r="Z78" s="28" t="n">
        <f aca="false">X78*Y78</f>
        <v>0.4912</v>
      </c>
    </row>
    <row r="79" customFormat="false" ht="15" hidden="false" customHeight="false" outlineLevel="0" collapsed="false">
      <c r="V79" s="55"/>
      <c r="X79" s="57"/>
      <c r="Z79" s="53" t="n">
        <f aca="false">SUM(Z78:Z78)</f>
        <v>0.4912</v>
      </c>
    </row>
    <row r="80" customFormat="false" ht="15" hidden="false" customHeight="false" outlineLevel="0" collapsed="false">
      <c r="R80" s="54" t="s">
        <v>310</v>
      </c>
    </row>
    <row r="81" customFormat="false" ht="15" hidden="false" customHeight="false" outlineLevel="0" collapsed="false">
      <c r="R81" s="1" t="s">
        <v>311</v>
      </c>
      <c r="V81" s="55" t="s">
        <v>312</v>
      </c>
      <c r="X81" s="57" t="n">
        <v>5</v>
      </c>
      <c r="Y81" s="28" t="n">
        <f aca="false">Z76</f>
        <v>14.8866</v>
      </c>
      <c r="Z81" s="28" t="n">
        <f aca="false">X81%*Y81</f>
        <v>0.74433</v>
      </c>
    </row>
    <row r="82" customFormat="false" ht="15" hidden="false" customHeight="false" outlineLevel="0" collapsed="false">
      <c r="R82" s="1" t="s">
        <v>657</v>
      </c>
      <c r="V82" s="55" t="s">
        <v>338</v>
      </c>
      <c r="W82" s="56" t="n">
        <v>1</v>
      </c>
      <c r="X82" s="57" t="n">
        <f aca="false">W82*8/$V$70</f>
        <v>0.2</v>
      </c>
      <c r="Y82" s="1" t="n">
        <v>17.47</v>
      </c>
      <c r="Z82" s="28" t="n">
        <f aca="false">X82*Y82</f>
        <v>3.494</v>
      </c>
    </row>
    <row r="83" customFormat="false" ht="15" hidden="false" customHeight="false" outlineLevel="0" collapsed="false">
      <c r="R83" s="1" t="s">
        <v>658</v>
      </c>
      <c r="V83" s="55" t="s">
        <v>338</v>
      </c>
      <c r="W83" s="56" t="n">
        <v>0.05</v>
      </c>
      <c r="X83" s="57" t="n">
        <f aca="false">W83*8/$V$70</f>
        <v>0.01</v>
      </c>
      <c r="Y83" s="1" t="n">
        <v>17.47</v>
      </c>
      <c r="Z83" s="28" t="n">
        <f aca="false">X83*Y83</f>
        <v>0.1747</v>
      </c>
    </row>
    <row r="84" customFormat="false" ht="15" hidden="false" customHeight="false" outlineLevel="0" collapsed="false">
      <c r="Q84" s="60"/>
      <c r="R84" s="60"/>
      <c r="S84" s="60"/>
      <c r="T84" s="60"/>
      <c r="U84" s="60"/>
      <c r="V84" s="60"/>
      <c r="W84" s="60"/>
      <c r="X84" s="60"/>
      <c r="Y84" s="80"/>
      <c r="Z84" s="61" t="n">
        <f aca="false">SUM(Z81:Z83)</f>
        <v>4.41303</v>
      </c>
    </row>
    <row r="86" customFormat="false" ht="15" hidden="false" customHeight="false" outlineLevel="0" collapsed="false">
      <c r="Q86" s="14" t="s">
        <v>278</v>
      </c>
      <c r="R86" s="14"/>
      <c r="S86" s="14" t="s">
        <v>1345</v>
      </c>
      <c r="T86" s="14"/>
    </row>
    <row r="87" customFormat="false" ht="15" hidden="false" customHeight="false" outlineLevel="0" collapsed="false">
      <c r="Q87" s="14" t="s">
        <v>279</v>
      </c>
      <c r="R87" s="14" t="s">
        <v>280</v>
      </c>
      <c r="S87" s="36" t="s">
        <v>281</v>
      </c>
      <c r="T87" s="52" t="n">
        <v>500</v>
      </c>
      <c r="U87" s="36" t="s">
        <v>282</v>
      </c>
      <c r="V87" s="52" t="n">
        <f aca="false">T87</f>
        <v>500</v>
      </c>
      <c r="W87" s="14" t="s">
        <v>283</v>
      </c>
      <c r="Y87" s="36" t="s">
        <v>134</v>
      </c>
      <c r="Z87" s="53" t="n">
        <f aca="false">Z93+Z99</f>
        <v>7.930344</v>
      </c>
    </row>
    <row r="88" customFormat="false" ht="15" hidden="false" customHeight="false" outlineLevel="0" collapsed="false">
      <c r="Q88" s="14" t="s">
        <v>284</v>
      </c>
      <c r="R88" s="14" t="s">
        <v>285</v>
      </c>
      <c r="V88" s="36" t="s">
        <v>123</v>
      </c>
      <c r="W88" s="36" t="s">
        <v>286</v>
      </c>
      <c r="X88" s="36" t="s">
        <v>287</v>
      </c>
      <c r="Y88" s="36" t="s">
        <v>288</v>
      </c>
      <c r="Z88" s="36" t="s">
        <v>289</v>
      </c>
    </row>
    <row r="89" customFormat="false" ht="15" hidden="false" customHeight="false" outlineLevel="0" collapsed="false">
      <c r="R89" s="54" t="s">
        <v>290</v>
      </c>
    </row>
    <row r="90" customFormat="false" ht="15" hidden="false" customHeight="false" outlineLevel="0" collapsed="false">
      <c r="R90" s="1" t="s">
        <v>651</v>
      </c>
      <c r="V90" s="55" t="s">
        <v>292</v>
      </c>
      <c r="W90" s="56" t="n">
        <v>1</v>
      </c>
      <c r="X90" s="57" t="n">
        <f aca="false">W90*8/$T$87</f>
        <v>0.016</v>
      </c>
      <c r="Y90" s="1" t="n">
        <v>34.73</v>
      </c>
      <c r="Z90" s="28" t="n">
        <f aca="false">X90*Y90</f>
        <v>0.55568</v>
      </c>
    </row>
    <row r="91" customFormat="false" ht="15" hidden="false" customHeight="false" outlineLevel="0" collapsed="false">
      <c r="R91" s="1" t="s">
        <v>293</v>
      </c>
      <c r="V91" s="55" t="s">
        <v>292</v>
      </c>
      <c r="W91" s="56" t="n">
        <v>1</v>
      </c>
      <c r="X91" s="57" t="n">
        <f aca="false">W91*8/$T$87</f>
        <v>0.016</v>
      </c>
      <c r="Y91" s="1" t="n">
        <v>23.6</v>
      </c>
      <c r="Z91" s="28" t="n">
        <f aca="false">X91*Y91</f>
        <v>0.3776</v>
      </c>
    </row>
    <row r="92" customFormat="false" ht="15" hidden="false" customHeight="false" outlineLevel="0" collapsed="false">
      <c r="R92" s="1" t="s">
        <v>294</v>
      </c>
      <c r="V92" s="55" t="s">
        <v>292</v>
      </c>
      <c r="W92" s="56" t="n">
        <v>3</v>
      </c>
      <c r="X92" s="57" t="n">
        <f aca="false">W92*8/$T$87</f>
        <v>0.048</v>
      </c>
      <c r="Y92" s="1" t="n">
        <v>20.51</v>
      </c>
      <c r="Z92" s="28" t="n">
        <f aca="false">X92*Y92</f>
        <v>0.98448</v>
      </c>
    </row>
    <row r="93" customFormat="false" ht="15" hidden="false" customHeight="false" outlineLevel="0" collapsed="false">
      <c r="Z93" s="53" t="n">
        <f aca="false">SUM(Z90:Z92)</f>
        <v>1.91776</v>
      </c>
    </row>
    <row r="94" customFormat="false" ht="15" hidden="false" customHeight="false" outlineLevel="0" collapsed="false">
      <c r="R94" s="54" t="s">
        <v>310</v>
      </c>
    </row>
    <row r="95" customFormat="false" ht="15" hidden="false" customHeight="false" outlineLevel="0" collapsed="false">
      <c r="R95" s="1" t="s">
        <v>311</v>
      </c>
      <c r="V95" s="55" t="s">
        <v>312</v>
      </c>
      <c r="X95" s="57" t="n">
        <v>5</v>
      </c>
      <c r="Y95" s="28" t="n">
        <f aca="false">Z90</f>
        <v>0.55568</v>
      </c>
      <c r="Z95" s="28" t="n">
        <f aca="false">X95%*Y95</f>
        <v>0.027784</v>
      </c>
    </row>
    <row r="96" customFormat="false" ht="15" hidden="false" customHeight="true" outlineLevel="0" collapsed="false">
      <c r="R96" s="1" t="s">
        <v>657</v>
      </c>
      <c r="V96" s="55" t="s">
        <v>338</v>
      </c>
      <c r="W96" s="56" t="n">
        <v>1</v>
      </c>
      <c r="X96" s="57" t="n">
        <f aca="false">W96*8/$T$87</f>
        <v>0.016</v>
      </c>
      <c r="Y96" s="1" t="n">
        <v>17.47</v>
      </c>
      <c r="Z96" s="28" t="n">
        <f aca="false">X96*Y96</f>
        <v>0.27952</v>
      </c>
    </row>
    <row r="97" customFormat="false" ht="15" hidden="false" customHeight="true" outlineLevel="0" collapsed="false">
      <c r="R97" s="1" t="s">
        <v>659</v>
      </c>
      <c r="V97" s="55" t="s">
        <v>338</v>
      </c>
      <c r="W97" s="56" t="n">
        <v>1</v>
      </c>
      <c r="X97" s="57" t="n">
        <f aca="false">W97*8/$T$87</f>
        <v>0.016</v>
      </c>
      <c r="Y97" s="1" t="n">
        <v>136.06</v>
      </c>
      <c r="Z97" s="28" t="n">
        <f aca="false">X97*Y97</f>
        <v>2.17696</v>
      </c>
    </row>
    <row r="98" customFormat="false" ht="15" hidden="false" customHeight="true" outlineLevel="0" collapsed="false">
      <c r="R98" s="228" t="s">
        <v>660</v>
      </c>
      <c r="S98" s="228"/>
      <c r="T98" s="228"/>
      <c r="U98" s="228"/>
      <c r="V98" s="55" t="s">
        <v>338</v>
      </c>
      <c r="W98" s="56" t="n">
        <v>1</v>
      </c>
      <c r="X98" s="57" t="n">
        <f aca="false">W98*8/$T$87</f>
        <v>0.016</v>
      </c>
      <c r="Y98" s="1" t="n">
        <v>220.52</v>
      </c>
      <c r="Z98" s="28" t="n">
        <f aca="false">X98*Y98</f>
        <v>3.52832</v>
      </c>
    </row>
    <row r="99" customFormat="false" ht="15" hidden="false" customHeight="false" outlineLevel="0" collapsed="false">
      <c r="Q99" s="60"/>
      <c r="R99" s="60"/>
      <c r="S99" s="60"/>
      <c r="T99" s="60"/>
      <c r="U99" s="60"/>
      <c r="V99" s="60"/>
      <c r="W99" s="60"/>
      <c r="X99" s="60"/>
      <c r="Y99" s="80"/>
      <c r="Z99" s="61" t="n">
        <f aca="false">SUM(Z95:Z98)</f>
        <v>6.012584</v>
      </c>
    </row>
    <row r="101" customFormat="false" ht="15" hidden="false" customHeight="false" outlineLevel="0" collapsed="false">
      <c r="Q101" s="14" t="s">
        <v>278</v>
      </c>
      <c r="R101" s="14"/>
      <c r="S101" s="14" t="s">
        <v>469</v>
      </c>
      <c r="T101" s="14"/>
    </row>
    <row r="102" customFormat="false" ht="15" hidden="false" customHeight="false" outlineLevel="0" collapsed="false">
      <c r="Q102" s="14" t="s">
        <v>279</v>
      </c>
      <c r="R102" s="14" t="s">
        <v>314</v>
      </c>
      <c r="S102" s="36" t="s">
        <v>281</v>
      </c>
      <c r="T102" s="52" t="n">
        <v>80</v>
      </c>
      <c r="U102" s="36" t="s">
        <v>282</v>
      </c>
      <c r="V102" s="52" t="n">
        <f aca="false">T102</f>
        <v>80</v>
      </c>
      <c r="W102" s="14" t="s">
        <v>283</v>
      </c>
      <c r="Y102" s="36" t="s">
        <v>145</v>
      </c>
      <c r="Z102" s="53" t="n">
        <f aca="false">Z106+Z110</f>
        <v>12.11253</v>
      </c>
    </row>
    <row r="103" customFormat="false" ht="15" hidden="false" customHeight="false" outlineLevel="0" collapsed="false">
      <c r="Q103" s="14" t="s">
        <v>284</v>
      </c>
      <c r="R103" s="14" t="s">
        <v>285</v>
      </c>
      <c r="V103" s="36" t="s">
        <v>123</v>
      </c>
      <c r="W103" s="36" t="s">
        <v>286</v>
      </c>
      <c r="X103" s="36" t="s">
        <v>287</v>
      </c>
      <c r="Y103" s="36" t="s">
        <v>288</v>
      </c>
      <c r="Z103" s="36" t="s">
        <v>289</v>
      </c>
    </row>
    <row r="104" customFormat="false" ht="15" hidden="false" customHeight="false" outlineLevel="0" collapsed="false">
      <c r="R104" s="54" t="s">
        <v>290</v>
      </c>
    </row>
    <row r="105" customFormat="false" ht="15" hidden="false" customHeight="false" outlineLevel="0" collapsed="false">
      <c r="R105" s="1" t="s">
        <v>294</v>
      </c>
      <c r="V105" s="55" t="s">
        <v>292</v>
      </c>
      <c r="W105" s="56" t="n">
        <v>1</v>
      </c>
      <c r="X105" s="57" t="n">
        <f aca="false">W105*8/$V$102</f>
        <v>0.1</v>
      </c>
      <c r="Y105" s="1" t="n">
        <v>20.51</v>
      </c>
      <c r="Z105" s="28" t="n">
        <f aca="false">X105*Y105</f>
        <v>2.051</v>
      </c>
    </row>
    <row r="106" customFormat="false" ht="15" hidden="false" customHeight="false" outlineLevel="0" collapsed="false">
      <c r="V106" s="55"/>
      <c r="W106" s="56"/>
      <c r="X106" s="57"/>
      <c r="Z106" s="53" t="n">
        <f aca="false">SUM(Z105:Z105)</f>
        <v>2.051</v>
      </c>
    </row>
    <row r="107" customFormat="false" ht="15" hidden="false" customHeight="false" outlineLevel="0" collapsed="false">
      <c r="R107" s="54" t="s">
        <v>310</v>
      </c>
    </row>
    <row r="108" customFormat="false" ht="15" hidden="false" customHeight="false" outlineLevel="0" collapsed="false">
      <c r="R108" s="1" t="s">
        <v>311</v>
      </c>
      <c r="V108" s="55" t="s">
        <v>312</v>
      </c>
      <c r="X108" s="57" t="n">
        <v>3</v>
      </c>
      <c r="Y108" s="28" t="n">
        <f aca="false">Z106</f>
        <v>2.051</v>
      </c>
      <c r="Z108" s="28" t="n">
        <f aca="false">X108%*Y108</f>
        <v>0.06153</v>
      </c>
    </row>
    <row r="109" customFormat="false" ht="15" hidden="false" customHeight="false" outlineLevel="0" collapsed="false">
      <c r="R109" s="1" t="s">
        <v>661</v>
      </c>
      <c r="V109" s="55" t="s">
        <v>338</v>
      </c>
      <c r="W109" s="56" t="n">
        <v>1</v>
      </c>
      <c r="X109" s="57" t="n">
        <f aca="false">W109*8/$V$102</f>
        <v>0.1</v>
      </c>
      <c r="Y109" s="1" t="n">
        <v>100</v>
      </c>
      <c r="Z109" s="28" t="n">
        <f aca="false">X109*Y109</f>
        <v>10</v>
      </c>
    </row>
    <row r="110" customFormat="false" ht="15" hidden="false" customHeight="false" outlineLevel="0" collapsed="false">
      <c r="Q110" s="60"/>
      <c r="R110" s="60"/>
      <c r="S110" s="60"/>
      <c r="T110" s="60"/>
      <c r="U110" s="60"/>
      <c r="V110" s="60"/>
      <c r="W110" s="60"/>
      <c r="X110" s="60"/>
      <c r="Y110" s="80"/>
      <c r="Z110" s="61" t="n">
        <f aca="false">SUM(Z108:Z109)</f>
        <v>10.06153</v>
      </c>
    </row>
    <row r="112" customFormat="false" ht="15" hidden="false" customHeight="false" outlineLevel="0" collapsed="false">
      <c r="Q112" s="14" t="s">
        <v>278</v>
      </c>
      <c r="R112" s="14"/>
      <c r="S112" s="14" t="s">
        <v>471</v>
      </c>
      <c r="T112" s="14"/>
    </row>
    <row r="113" customFormat="false" ht="15" hidden="false" customHeight="false" outlineLevel="0" collapsed="false">
      <c r="Q113" s="14" t="s">
        <v>279</v>
      </c>
      <c r="R113" s="14" t="s">
        <v>417</v>
      </c>
      <c r="S113" s="36" t="s">
        <v>281</v>
      </c>
      <c r="T113" s="52" t="n">
        <v>187.5</v>
      </c>
      <c r="U113" s="36" t="s">
        <v>282</v>
      </c>
      <c r="V113" s="52" t="n">
        <f aca="false">T113</f>
        <v>187.5</v>
      </c>
      <c r="W113" s="14" t="s">
        <v>283</v>
      </c>
      <c r="Y113" s="36" t="s">
        <v>204</v>
      </c>
      <c r="Z113" s="53" t="n">
        <f aca="false">Z118+Z123</f>
        <v>22.9100074666667</v>
      </c>
    </row>
    <row r="114" customFormat="false" ht="15" hidden="false" customHeight="false" outlineLevel="0" collapsed="false">
      <c r="Q114" s="14" t="s">
        <v>284</v>
      </c>
      <c r="R114" s="14" t="s">
        <v>285</v>
      </c>
      <c r="V114" s="36" t="s">
        <v>123</v>
      </c>
      <c r="W114" s="36" t="s">
        <v>286</v>
      </c>
      <c r="X114" s="36" t="s">
        <v>287</v>
      </c>
      <c r="Y114" s="36" t="s">
        <v>288</v>
      </c>
      <c r="Z114" s="36" t="s">
        <v>289</v>
      </c>
    </row>
    <row r="115" customFormat="false" ht="15" hidden="false" customHeight="false" outlineLevel="0" collapsed="false">
      <c r="R115" s="54" t="s">
        <v>290</v>
      </c>
    </row>
    <row r="116" customFormat="false" ht="15" hidden="false" customHeight="false" outlineLevel="0" collapsed="false">
      <c r="R116" s="1" t="s">
        <v>293</v>
      </c>
      <c r="V116" s="55" t="s">
        <v>292</v>
      </c>
      <c r="W116" s="56" t="n">
        <v>1</v>
      </c>
      <c r="X116" s="57" t="n">
        <f aca="false">W116*8/$V$113</f>
        <v>0.0426666666666667</v>
      </c>
      <c r="Y116" s="1" t="n">
        <v>23.6</v>
      </c>
      <c r="Z116" s="28" t="n">
        <f aca="false">X116*Y116</f>
        <v>1.00693333333333</v>
      </c>
    </row>
    <row r="117" customFormat="false" ht="15" hidden="false" customHeight="false" outlineLevel="0" collapsed="false">
      <c r="R117" s="1" t="s">
        <v>294</v>
      </c>
      <c r="V117" s="55" t="s">
        <v>292</v>
      </c>
      <c r="W117" s="56" t="n">
        <v>1</v>
      </c>
      <c r="X117" s="57" t="n">
        <f aca="false">W117*8/$V$113</f>
        <v>0.0426666666666667</v>
      </c>
      <c r="Y117" s="1" t="n">
        <v>20.51</v>
      </c>
      <c r="Z117" s="28" t="n">
        <f aca="false">X117*Y117</f>
        <v>0.875093333333333</v>
      </c>
    </row>
    <row r="118" customFormat="false" ht="15" hidden="false" customHeight="false" outlineLevel="0" collapsed="false">
      <c r="V118" s="55"/>
      <c r="W118" s="56"/>
      <c r="X118" s="57"/>
      <c r="Z118" s="53" t="n">
        <f aca="false">SUM(Z116:Z117)</f>
        <v>1.88202666666667</v>
      </c>
    </row>
    <row r="119" customFormat="false" ht="15" hidden="false" customHeight="false" outlineLevel="0" collapsed="false">
      <c r="R119" s="54" t="s">
        <v>310</v>
      </c>
    </row>
    <row r="120" customFormat="false" ht="15" hidden="false" customHeight="false" outlineLevel="0" collapsed="false">
      <c r="R120" s="1" t="s">
        <v>311</v>
      </c>
      <c r="V120" s="55" t="s">
        <v>312</v>
      </c>
      <c r="X120" s="57" t="n">
        <v>3</v>
      </c>
      <c r="Y120" s="28" t="n">
        <f aca="false">Z118</f>
        <v>1.88202666666667</v>
      </c>
      <c r="Z120" s="28" t="n">
        <f aca="false">X120%*Y120</f>
        <v>0.0564608</v>
      </c>
    </row>
    <row r="121" customFormat="false" ht="15" hidden="false" customHeight="false" outlineLevel="0" collapsed="false">
      <c r="R121" s="1" t="s">
        <v>662</v>
      </c>
      <c r="V121" s="55" t="s">
        <v>338</v>
      </c>
      <c r="W121" s="56" t="n">
        <v>1</v>
      </c>
      <c r="X121" s="57" t="n">
        <f aca="false">W121*8/$V$113</f>
        <v>0.0426666666666667</v>
      </c>
      <c r="Y121" s="46" t="n">
        <v>118.64</v>
      </c>
      <c r="Z121" s="28" t="n">
        <f aca="false">X121*Y121</f>
        <v>5.06197333333333</v>
      </c>
    </row>
    <row r="122" customFormat="false" ht="15" hidden="false" customHeight="false" outlineLevel="0" collapsed="false">
      <c r="R122" s="1" t="s">
        <v>663</v>
      </c>
      <c r="V122" s="55" t="s">
        <v>338</v>
      </c>
      <c r="W122" s="56" t="n">
        <v>2</v>
      </c>
      <c r="X122" s="57" t="n">
        <f aca="false">W122*8/$V$113</f>
        <v>0.0853333333333333</v>
      </c>
      <c r="Y122" s="46" t="n">
        <v>186.44</v>
      </c>
      <c r="Z122" s="28" t="n">
        <f aca="false">X122*Y122</f>
        <v>15.9095466666667</v>
      </c>
    </row>
    <row r="123" customFormat="false" ht="15" hidden="false" customHeight="false" outlineLevel="0" collapsed="false">
      <c r="Q123" s="60"/>
      <c r="R123" s="60"/>
      <c r="S123" s="60"/>
      <c r="T123" s="60"/>
      <c r="U123" s="60"/>
      <c r="V123" s="60"/>
      <c r="W123" s="60"/>
      <c r="X123" s="60"/>
      <c r="Y123" s="80"/>
      <c r="Z123" s="61" t="n">
        <f aca="false">SUM(Z120:Z122)</f>
        <v>21.0279808</v>
      </c>
    </row>
    <row r="125" customFormat="false" ht="15" hidden="false" customHeight="false" outlineLevel="0" collapsed="false">
      <c r="Q125" s="82" t="s">
        <v>278</v>
      </c>
      <c r="R125" s="82"/>
      <c r="S125" s="82" t="s">
        <v>484</v>
      </c>
      <c r="T125" s="82"/>
    </row>
    <row r="126" customFormat="false" ht="15" hidden="false" customHeight="false" outlineLevel="0" collapsed="false">
      <c r="Q126" s="82" t="s">
        <v>279</v>
      </c>
      <c r="R126" s="82" t="s">
        <v>280</v>
      </c>
      <c r="S126" s="84" t="s">
        <v>281</v>
      </c>
      <c r="T126" s="85" t="n">
        <v>50</v>
      </c>
      <c r="U126" s="84" t="s">
        <v>282</v>
      </c>
      <c r="V126" s="85" t="n">
        <f aca="false">T126</f>
        <v>50</v>
      </c>
      <c r="W126" s="82" t="s">
        <v>283</v>
      </c>
      <c r="Y126" s="84" t="s">
        <v>134</v>
      </c>
      <c r="Z126" s="86" t="n">
        <f aca="false">Z134+Z141+Z145</f>
        <v>238.3435744</v>
      </c>
    </row>
    <row r="127" customFormat="false" ht="15" hidden="false" customHeight="false" outlineLevel="0" collapsed="false">
      <c r="Q127" s="82" t="s">
        <v>284</v>
      </c>
      <c r="R127" s="82" t="s">
        <v>285</v>
      </c>
      <c r="V127" s="84" t="s">
        <v>123</v>
      </c>
      <c r="W127" s="84" t="s">
        <v>286</v>
      </c>
      <c r="X127" s="84" t="s">
        <v>287</v>
      </c>
      <c r="Y127" s="84" t="s">
        <v>288</v>
      </c>
      <c r="Z127" s="84" t="s">
        <v>289</v>
      </c>
    </row>
    <row r="128" customFormat="false" ht="15" hidden="false" customHeight="false" outlineLevel="0" collapsed="false">
      <c r="R128" s="87" t="s">
        <v>290</v>
      </c>
    </row>
    <row r="129" customFormat="false" ht="15" hidden="false" customHeight="false" outlineLevel="0" collapsed="false">
      <c r="R129" s="1" t="s">
        <v>651</v>
      </c>
      <c r="V129" s="55" t="s">
        <v>292</v>
      </c>
      <c r="W129" s="56" t="n">
        <v>0.1</v>
      </c>
      <c r="X129" s="57" t="n">
        <f aca="false">W129*8/$T$126</f>
        <v>0.016</v>
      </c>
      <c r="Y129" s="1" t="n">
        <v>34.73</v>
      </c>
      <c r="Z129" s="28" t="n">
        <f aca="false">X129*Y129</f>
        <v>0.55568</v>
      </c>
    </row>
    <row r="130" customFormat="false" ht="15" hidden="false" customHeight="false" outlineLevel="0" collapsed="false">
      <c r="R130" s="1" t="s">
        <v>291</v>
      </c>
      <c r="V130" s="55" t="s">
        <v>292</v>
      </c>
      <c r="W130" s="56" t="n">
        <v>1</v>
      </c>
      <c r="X130" s="57" t="n">
        <f aca="false">W130*8/$T$126</f>
        <v>0.16</v>
      </c>
      <c r="Y130" s="28" t="n">
        <v>28.94</v>
      </c>
      <c r="Z130" s="28" t="n">
        <f aca="false">X130*Y130</f>
        <v>4.6304</v>
      </c>
    </row>
    <row r="131" customFormat="false" ht="15" hidden="false" customHeight="false" outlineLevel="0" collapsed="false">
      <c r="R131" s="1" t="s">
        <v>293</v>
      </c>
      <c r="V131" s="55" t="s">
        <v>292</v>
      </c>
      <c r="W131" s="56" t="n">
        <v>2</v>
      </c>
      <c r="X131" s="57" t="n">
        <f aca="false">W131*8/$T$126</f>
        <v>0.32</v>
      </c>
      <c r="Y131" s="28" t="n">
        <v>23.6</v>
      </c>
      <c r="Z131" s="28" t="n">
        <f aca="false">X131*Y131</f>
        <v>7.552</v>
      </c>
    </row>
    <row r="132" customFormat="false" ht="15" hidden="false" customHeight="false" outlineLevel="0" collapsed="false">
      <c r="R132" s="1" t="s">
        <v>294</v>
      </c>
      <c r="V132" s="55" t="s">
        <v>292</v>
      </c>
      <c r="W132" s="56" t="n">
        <v>5</v>
      </c>
      <c r="X132" s="57" t="n">
        <f aca="false">W132*8/$T$126</f>
        <v>0.8</v>
      </c>
      <c r="Y132" s="28" t="n">
        <v>21.36</v>
      </c>
      <c r="Z132" s="28" t="n">
        <f aca="false">X132*Y132</f>
        <v>17.088</v>
      </c>
    </row>
    <row r="133" customFormat="false" ht="15" hidden="false" customHeight="false" outlineLevel="0" collapsed="false">
      <c r="R133" s="1" t="s">
        <v>653</v>
      </c>
      <c r="V133" s="55" t="s">
        <v>292</v>
      </c>
      <c r="W133" s="56" t="n">
        <v>1</v>
      </c>
      <c r="X133" s="57" t="n">
        <f aca="false">W133*8/$T$126</f>
        <v>0.16</v>
      </c>
      <c r="Y133" s="1" t="n">
        <v>29.94</v>
      </c>
      <c r="Z133" s="28" t="n">
        <f aca="false">X133*Y133</f>
        <v>4.7904</v>
      </c>
    </row>
    <row r="134" customFormat="false" ht="15" hidden="false" customHeight="false" outlineLevel="0" collapsed="false">
      <c r="V134" s="55"/>
      <c r="W134" s="56"/>
      <c r="X134" s="57"/>
      <c r="Z134" s="86" t="n">
        <f aca="false">SUM(Z129:Z133)</f>
        <v>34.61648</v>
      </c>
    </row>
    <row r="135" customFormat="false" ht="15" hidden="false" customHeight="false" outlineLevel="0" collapsed="false">
      <c r="R135" s="87" t="s">
        <v>654</v>
      </c>
      <c r="V135" s="55"/>
      <c r="W135" s="56"/>
      <c r="X135" s="57"/>
      <c r="Z135" s="28"/>
    </row>
    <row r="136" customFormat="false" ht="15" hidden="false" customHeight="false" outlineLevel="0" collapsed="false">
      <c r="R136" s="1" t="s">
        <v>307</v>
      </c>
      <c r="V136" s="55" t="s">
        <v>308</v>
      </c>
      <c r="X136" s="57" t="n">
        <v>3.8</v>
      </c>
      <c r="Y136" s="28" t="n">
        <v>24.52</v>
      </c>
      <c r="Z136" s="28" t="n">
        <f aca="false">X136*Y136</f>
        <v>93.176</v>
      </c>
    </row>
    <row r="137" customFormat="false" ht="15" hidden="false" customHeight="false" outlineLevel="0" collapsed="false">
      <c r="R137" s="1" t="s">
        <v>656</v>
      </c>
      <c r="V137" s="55" t="s">
        <v>204</v>
      </c>
      <c r="X137" s="57" t="n">
        <v>0.08</v>
      </c>
      <c r="Y137" s="1" t="n">
        <v>6.14</v>
      </c>
      <c r="Z137" s="28" t="n">
        <f aca="false">X137*Y137</f>
        <v>0.4912</v>
      </c>
    </row>
    <row r="138" customFormat="false" ht="15" hidden="false" customHeight="false" outlineLevel="0" collapsed="false">
      <c r="R138" s="1" t="s">
        <v>666</v>
      </c>
      <c r="V138" s="55" t="s">
        <v>440</v>
      </c>
      <c r="X138" s="57" t="n">
        <v>0.5</v>
      </c>
      <c r="Y138" s="1" t="n">
        <v>13.93</v>
      </c>
      <c r="Z138" s="28" t="n">
        <f aca="false">X138*Y138</f>
        <v>6.965</v>
      </c>
    </row>
    <row r="139" customFormat="false" ht="15" hidden="false" customHeight="false" outlineLevel="0" collapsed="false">
      <c r="R139" s="1" t="s">
        <v>303</v>
      </c>
      <c r="V139" s="55" t="s">
        <v>204</v>
      </c>
      <c r="X139" s="57" t="n">
        <v>0.93</v>
      </c>
      <c r="Y139" s="88" t="n">
        <v>70.92</v>
      </c>
      <c r="Z139" s="28" t="n">
        <f aca="false">X139*Y139</f>
        <v>65.9556</v>
      </c>
    </row>
    <row r="140" customFormat="false" ht="15" hidden="false" customHeight="false" outlineLevel="0" collapsed="false">
      <c r="R140" s="1" t="s">
        <v>667</v>
      </c>
      <c r="V140" s="55" t="s">
        <v>204</v>
      </c>
      <c r="X140" s="57" t="n">
        <v>0.4</v>
      </c>
      <c r="Y140" s="88" t="n">
        <v>80</v>
      </c>
      <c r="Z140" s="28" t="n">
        <f aca="false">X140*Y140</f>
        <v>32</v>
      </c>
    </row>
    <row r="141" customFormat="false" ht="15" hidden="false" customHeight="false" outlineLevel="0" collapsed="false">
      <c r="V141" s="55"/>
      <c r="X141" s="57"/>
      <c r="Y141" s="28"/>
      <c r="Z141" s="86" t="n">
        <f aca="false">SUM(Z136:Z140)</f>
        <v>198.5878</v>
      </c>
    </row>
    <row r="142" customFormat="false" ht="15" hidden="false" customHeight="false" outlineLevel="0" collapsed="false">
      <c r="R142" s="87" t="s">
        <v>310</v>
      </c>
    </row>
    <row r="143" customFormat="false" ht="15" hidden="false" customHeight="false" outlineLevel="0" collapsed="false">
      <c r="R143" s="1" t="s">
        <v>311</v>
      </c>
      <c r="V143" s="55" t="s">
        <v>312</v>
      </c>
      <c r="X143" s="57" t="n">
        <v>3</v>
      </c>
      <c r="Y143" s="28" t="n">
        <f aca="false">Z134</f>
        <v>34.61648</v>
      </c>
      <c r="Z143" s="28" t="n">
        <f aca="false">X143%*Y143</f>
        <v>1.0384944</v>
      </c>
    </row>
    <row r="144" customFormat="false" ht="15" hidden="false" customHeight="false" outlineLevel="0" collapsed="false">
      <c r="R144" s="1" t="s">
        <v>668</v>
      </c>
      <c r="V144" s="55" t="s">
        <v>338</v>
      </c>
      <c r="W144" s="56" t="n">
        <v>1</v>
      </c>
      <c r="X144" s="57" t="n">
        <f aca="false">W144*8/$T$126</f>
        <v>0.16</v>
      </c>
      <c r="Y144" s="28" t="n">
        <v>25.63</v>
      </c>
      <c r="Z144" s="28" t="n">
        <f aca="false">X144*Y144</f>
        <v>4.1008</v>
      </c>
    </row>
    <row r="145" customFormat="false" ht="15" hidden="false" customHeight="false" outlineLevel="0" collapsed="false">
      <c r="Q145" s="60"/>
      <c r="R145" s="60"/>
      <c r="S145" s="60"/>
      <c r="T145" s="60"/>
      <c r="U145" s="60"/>
      <c r="V145" s="60"/>
      <c r="W145" s="60"/>
      <c r="X145" s="60"/>
      <c r="Y145" s="60"/>
      <c r="Z145" s="89" t="n">
        <f aca="false">SUM(Z143:Z144)</f>
        <v>5.1392944</v>
      </c>
    </row>
    <row r="151" customFormat="false" ht="15" hidden="false" customHeight="false" outlineLevel="0" collapsed="false">
      <c r="Q151" s="82" t="s">
        <v>278</v>
      </c>
      <c r="R151" s="82"/>
      <c r="S151" s="82" t="s">
        <v>669</v>
      </c>
      <c r="T151" s="82"/>
    </row>
    <row r="152" customFormat="false" ht="15" hidden="false" customHeight="false" outlineLevel="0" collapsed="false">
      <c r="Q152" s="82" t="s">
        <v>279</v>
      </c>
      <c r="R152" s="82" t="s">
        <v>280</v>
      </c>
      <c r="S152" s="84" t="s">
        <v>281</v>
      </c>
      <c r="T152" s="85" t="n">
        <v>110</v>
      </c>
      <c r="U152" s="84" t="s">
        <v>282</v>
      </c>
      <c r="V152" s="85" t="n">
        <f aca="false">T152</f>
        <v>110</v>
      </c>
      <c r="W152" s="82" t="s">
        <v>283</v>
      </c>
      <c r="Y152" s="84" t="s">
        <v>134</v>
      </c>
      <c r="Z152" s="86" t="n">
        <f aca="false">Z158+Z164+Z168</f>
        <v>39.6208818181818</v>
      </c>
    </row>
    <row r="153" customFormat="false" ht="15" hidden="false" customHeight="false" outlineLevel="0" collapsed="false">
      <c r="Q153" s="82" t="s">
        <v>284</v>
      </c>
      <c r="R153" s="82" t="s">
        <v>285</v>
      </c>
      <c r="V153" s="84" t="s">
        <v>123</v>
      </c>
      <c r="W153" s="84" t="s">
        <v>286</v>
      </c>
      <c r="X153" s="84" t="s">
        <v>287</v>
      </c>
      <c r="Y153" s="84" t="s">
        <v>288</v>
      </c>
      <c r="Z153" s="84" t="s">
        <v>289</v>
      </c>
    </row>
    <row r="154" customFormat="false" ht="15" hidden="false" customHeight="false" outlineLevel="0" collapsed="false">
      <c r="R154" s="87" t="s">
        <v>290</v>
      </c>
    </row>
    <row r="155" customFormat="false" ht="15" hidden="false" customHeight="false" outlineLevel="0" collapsed="false">
      <c r="R155" s="1" t="s">
        <v>291</v>
      </c>
      <c r="V155" s="55" t="s">
        <v>292</v>
      </c>
      <c r="W155" s="56" t="n">
        <v>2</v>
      </c>
      <c r="X155" s="57" t="n">
        <f aca="false">W155*8/$T$152</f>
        <v>0.145454545454545</v>
      </c>
      <c r="Y155" s="28" t="n">
        <v>28.94</v>
      </c>
      <c r="Z155" s="28" t="n">
        <f aca="false">X155*Y155</f>
        <v>4.20945454545455</v>
      </c>
    </row>
    <row r="156" customFormat="false" ht="15" hidden="false" customHeight="false" outlineLevel="0" collapsed="false">
      <c r="R156" s="1" t="s">
        <v>293</v>
      </c>
      <c r="V156" s="55" t="s">
        <v>292</v>
      </c>
      <c r="W156" s="56" t="n">
        <v>1</v>
      </c>
      <c r="X156" s="57" t="n">
        <f aca="false">W156*8/$T$152</f>
        <v>0.0727272727272727</v>
      </c>
      <c r="Y156" s="28" t="n">
        <v>23.6</v>
      </c>
      <c r="Z156" s="28" t="n">
        <f aca="false">X156*Y156</f>
        <v>1.71636363636364</v>
      </c>
    </row>
    <row r="157" customFormat="false" ht="15" hidden="false" customHeight="false" outlineLevel="0" collapsed="false">
      <c r="R157" s="1" t="s">
        <v>294</v>
      </c>
      <c r="V157" s="55" t="s">
        <v>292</v>
      </c>
      <c r="W157" s="56" t="n">
        <v>6</v>
      </c>
      <c r="X157" s="57" t="n">
        <f aca="false">W157*8/$T$152</f>
        <v>0.436363636363636</v>
      </c>
      <c r="Y157" s="28" t="n">
        <v>21.36</v>
      </c>
      <c r="Z157" s="28" t="n">
        <f aca="false">X157*Y157</f>
        <v>9.32072727272727</v>
      </c>
    </row>
    <row r="158" customFormat="false" ht="15" hidden="false" customHeight="false" outlineLevel="0" collapsed="false">
      <c r="V158" s="55"/>
      <c r="W158" s="56"/>
      <c r="X158" s="57"/>
      <c r="Z158" s="86" t="n">
        <f aca="false">SUM(Z155:Z157)</f>
        <v>15.2465454545455</v>
      </c>
    </row>
    <row r="159" customFormat="false" ht="15" hidden="false" customHeight="false" outlineLevel="0" collapsed="false">
      <c r="R159" s="87" t="s">
        <v>654</v>
      </c>
      <c r="V159" s="55"/>
      <c r="W159" s="56"/>
      <c r="X159" s="57"/>
      <c r="Z159" s="28"/>
    </row>
    <row r="160" customFormat="false" ht="15" hidden="false" customHeight="false" outlineLevel="0" collapsed="false">
      <c r="R160" s="1" t="s">
        <v>307</v>
      </c>
      <c r="V160" s="55" t="s">
        <v>308</v>
      </c>
      <c r="X160" s="57" t="n">
        <v>0.42</v>
      </c>
      <c r="Y160" s="28" t="n">
        <v>24.52</v>
      </c>
      <c r="Z160" s="28" t="n">
        <f aca="false">X160*Y160</f>
        <v>10.2984</v>
      </c>
    </row>
    <row r="161" customFormat="false" ht="15" hidden="false" customHeight="false" outlineLevel="0" collapsed="false">
      <c r="R161" s="1" t="s">
        <v>656</v>
      </c>
      <c r="V161" s="55" t="s">
        <v>204</v>
      </c>
      <c r="X161" s="57" t="n">
        <v>0.025</v>
      </c>
      <c r="Y161" s="1" t="n">
        <v>6.14</v>
      </c>
      <c r="Z161" s="28" t="n">
        <f aca="false">X161*Y161</f>
        <v>0.1535</v>
      </c>
    </row>
    <row r="162" customFormat="false" ht="15" hidden="false" customHeight="false" outlineLevel="0" collapsed="false">
      <c r="R162" s="1" t="s">
        <v>303</v>
      </c>
      <c r="V162" s="55" t="s">
        <v>204</v>
      </c>
      <c r="X162" s="57" t="n">
        <v>0.162</v>
      </c>
      <c r="Y162" s="88" t="n">
        <v>70.92</v>
      </c>
      <c r="Z162" s="28" t="n">
        <f aca="false">X162*Y162</f>
        <v>11.48904</v>
      </c>
    </row>
    <row r="163" customFormat="false" ht="15" hidden="false" customHeight="false" outlineLevel="0" collapsed="false">
      <c r="R163" s="1" t="s">
        <v>670</v>
      </c>
      <c r="V163" s="55" t="s">
        <v>306</v>
      </c>
      <c r="X163" s="57" t="n">
        <v>0.18</v>
      </c>
      <c r="Y163" s="28" t="n">
        <v>5.8</v>
      </c>
      <c r="Z163" s="28" t="n">
        <f aca="false">X163*Y163</f>
        <v>1.044</v>
      </c>
    </row>
    <row r="164" customFormat="false" ht="15" hidden="false" customHeight="false" outlineLevel="0" collapsed="false">
      <c r="V164" s="55"/>
      <c r="X164" s="57"/>
      <c r="Y164" s="28"/>
      <c r="Z164" s="86" t="n">
        <f aca="false">SUM(Z160:Z163)</f>
        <v>22.98494</v>
      </c>
    </row>
    <row r="165" customFormat="false" ht="15" hidden="false" customHeight="false" outlineLevel="0" collapsed="false">
      <c r="R165" s="87" t="s">
        <v>310</v>
      </c>
    </row>
    <row r="166" customFormat="false" ht="15" hidden="false" customHeight="false" outlineLevel="0" collapsed="false">
      <c r="R166" s="1" t="s">
        <v>311</v>
      </c>
      <c r="V166" s="55" t="s">
        <v>312</v>
      </c>
      <c r="X166" s="57" t="n">
        <v>3</v>
      </c>
      <c r="Y166" s="28" t="n">
        <f aca="false">Z158</f>
        <v>15.2465454545455</v>
      </c>
      <c r="Z166" s="28" t="n">
        <f aca="false">X166%*Y166</f>
        <v>0.457396363636364</v>
      </c>
    </row>
    <row r="167" customFormat="false" ht="15" hidden="false" customHeight="false" outlineLevel="0" collapsed="false">
      <c r="R167" s="1" t="s">
        <v>668</v>
      </c>
      <c r="V167" s="55" t="s">
        <v>338</v>
      </c>
      <c r="W167" s="56" t="n">
        <v>0.5</v>
      </c>
      <c r="X167" s="57" t="n">
        <f aca="false">W167*8/$T$152</f>
        <v>0.0363636363636364</v>
      </c>
      <c r="Y167" s="28" t="n">
        <v>25.63</v>
      </c>
      <c r="Z167" s="28" t="n">
        <f aca="false">X167*Y167</f>
        <v>0.932</v>
      </c>
    </row>
    <row r="168" customFormat="false" ht="15" hidden="false" customHeight="false" outlineLevel="0" collapsed="false">
      <c r="Q168" s="60"/>
      <c r="R168" s="60"/>
      <c r="S168" s="60"/>
      <c r="T168" s="60"/>
      <c r="U168" s="60"/>
      <c r="V168" s="60"/>
      <c r="W168" s="60"/>
      <c r="X168" s="60"/>
      <c r="Y168" s="60"/>
      <c r="Z168" s="89" t="n">
        <f aca="false">SUM(Z166:Z167)</f>
        <v>1.38939636363636</v>
      </c>
    </row>
    <row r="170" customFormat="false" ht="15" hidden="false" customHeight="false" outlineLevel="0" collapsed="false">
      <c r="Q170" s="82" t="s">
        <v>278</v>
      </c>
      <c r="R170" s="82"/>
      <c r="S170" s="82" t="s">
        <v>671</v>
      </c>
      <c r="T170" s="82"/>
    </row>
    <row r="171" customFormat="false" ht="15" hidden="false" customHeight="false" outlineLevel="0" collapsed="false">
      <c r="Q171" s="82" t="s">
        <v>279</v>
      </c>
      <c r="R171" s="82" t="s">
        <v>280</v>
      </c>
      <c r="S171" s="84" t="s">
        <v>281</v>
      </c>
      <c r="T171" s="85" t="n">
        <v>120</v>
      </c>
      <c r="U171" s="84" t="s">
        <v>282</v>
      </c>
      <c r="V171" s="85" t="n">
        <f aca="false">T171</f>
        <v>120</v>
      </c>
      <c r="W171" s="82" t="s">
        <v>283</v>
      </c>
      <c r="Y171" s="84" t="s">
        <v>134</v>
      </c>
      <c r="Z171" s="86" t="n">
        <f aca="false">Z177+Z183+Z187</f>
        <v>27.126394</v>
      </c>
    </row>
    <row r="172" customFormat="false" ht="15" hidden="false" customHeight="false" outlineLevel="0" collapsed="false">
      <c r="Q172" s="82" t="s">
        <v>284</v>
      </c>
      <c r="R172" s="82" t="s">
        <v>285</v>
      </c>
      <c r="V172" s="84" t="s">
        <v>123</v>
      </c>
      <c r="W172" s="84" t="s">
        <v>286</v>
      </c>
      <c r="X172" s="84" t="s">
        <v>287</v>
      </c>
      <c r="Y172" s="84" t="s">
        <v>288</v>
      </c>
      <c r="Z172" s="84" t="s">
        <v>289</v>
      </c>
    </row>
    <row r="173" customFormat="false" ht="15" hidden="false" customHeight="false" outlineLevel="0" collapsed="false">
      <c r="R173" s="87" t="s">
        <v>290</v>
      </c>
    </row>
    <row r="174" customFormat="false" ht="15" hidden="false" customHeight="false" outlineLevel="0" collapsed="false">
      <c r="R174" s="1" t="s">
        <v>291</v>
      </c>
      <c r="V174" s="55" t="s">
        <v>292</v>
      </c>
      <c r="W174" s="56" t="n">
        <v>2</v>
      </c>
      <c r="X174" s="57" t="n">
        <f aca="false">W174*8/$T$171</f>
        <v>0.133333333333333</v>
      </c>
      <c r="Y174" s="28" t="n">
        <v>28.94</v>
      </c>
      <c r="Z174" s="28" t="n">
        <f aca="false">X174*Y174</f>
        <v>3.85866666666667</v>
      </c>
    </row>
    <row r="175" customFormat="false" ht="15" hidden="false" customHeight="false" outlineLevel="0" collapsed="false">
      <c r="R175" s="1" t="s">
        <v>293</v>
      </c>
      <c r="V175" s="55" t="s">
        <v>292</v>
      </c>
      <c r="W175" s="56" t="n">
        <v>2</v>
      </c>
      <c r="X175" s="57" t="n">
        <f aca="false">W175*8/$T$171</f>
        <v>0.133333333333333</v>
      </c>
      <c r="Y175" s="28" t="n">
        <v>23.6</v>
      </c>
      <c r="Z175" s="28" t="n">
        <f aca="false">X175*Y175</f>
        <v>3.14666666666667</v>
      </c>
    </row>
    <row r="176" customFormat="false" ht="15" hidden="false" customHeight="false" outlineLevel="0" collapsed="false">
      <c r="R176" s="1" t="s">
        <v>294</v>
      </c>
      <c r="V176" s="55" t="s">
        <v>292</v>
      </c>
      <c r="W176" s="56" t="n">
        <v>6</v>
      </c>
      <c r="X176" s="57" t="n">
        <f aca="false">W176*8/$T$171</f>
        <v>0.4</v>
      </c>
      <c r="Y176" s="28" t="n">
        <v>21.36</v>
      </c>
      <c r="Z176" s="28" t="n">
        <f aca="false">X176*Y176</f>
        <v>8.544</v>
      </c>
    </row>
    <row r="177" customFormat="false" ht="15" hidden="false" customHeight="false" outlineLevel="0" collapsed="false">
      <c r="V177" s="55"/>
      <c r="W177" s="56"/>
      <c r="X177" s="57"/>
      <c r="Z177" s="86" t="n">
        <f aca="false">SUM(Z174:Z176)</f>
        <v>15.5493333333333</v>
      </c>
    </row>
    <row r="178" customFormat="false" ht="15" hidden="false" customHeight="false" outlineLevel="0" collapsed="false">
      <c r="R178" s="87" t="s">
        <v>654</v>
      </c>
      <c r="V178" s="55"/>
      <c r="W178" s="56"/>
      <c r="X178" s="57"/>
      <c r="Z178" s="28"/>
    </row>
    <row r="179" customFormat="false" ht="15" hidden="false" customHeight="false" outlineLevel="0" collapsed="false">
      <c r="R179" s="1" t="s">
        <v>307</v>
      </c>
      <c r="V179" s="55" t="s">
        <v>308</v>
      </c>
      <c r="X179" s="57" t="n">
        <v>0.19</v>
      </c>
      <c r="Y179" s="28" t="n">
        <v>24.52</v>
      </c>
      <c r="Z179" s="28" t="n">
        <f aca="false">X179*Y179</f>
        <v>4.6588</v>
      </c>
    </row>
    <row r="180" customFormat="false" ht="15" hidden="false" customHeight="false" outlineLevel="0" collapsed="false">
      <c r="R180" s="1" t="s">
        <v>656</v>
      </c>
      <c r="V180" s="55" t="s">
        <v>204</v>
      </c>
      <c r="X180" s="57" t="n">
        <v>0.0081</v>
      </c>
      <c r="Y180" s="1" t="n">
        <v>6.14</v>
      </c>
      <c r="Z180" s="28" t="n">
        <f aca="false">X180*Y180</f>
        <v>0.049734</v>
      </c>
    </row>
    <row r="181" customFormat="false" ht="15" hidden="false" customHeight="false" outlineLevel="0" collapsed="false">
      <c r="R181" s="1" t="s">
        <v>666</v>
      </c>
      <c r="V181" s="55" t="s">
        <v>440</v>
      </c>
      <c r="X181" s="57" t="n">
        <v>0.006</v>
      </c>
      <c r="Y181" s="1" t="n">
        <v>13.93</v>
      </c>
      <c r="Z181" s="28" t="n">
        <f aca="false">X181*Y181</f>
        <v>0.08358</v>
      </c>
    </row>
    <row r="182" customFormat="false" ht="15" hidden="false" customHeight="false" outlineLevel="0" collapsed="false">
      <c r="R182" s="1" t="s">
        <v>303</v>
      </c>
      <c r="V182" s="55" t="s">
        <v>204</v>
      </c>
      <c r="X182" s="57" t="n">
        <v>0.065</v>
      </c>
      <c r="Y182" s="88" t="n">
        <v>70.92</v>
      </c>
      <c r="Z182" s="28" t="n">
        <f aca="false">X182*Y182</f>
        <v>4.6098</v>
      </c>
    </row>
    <row r="183" customFormat="false" ht="15" hidden="false" customHeight="false" outlineLevel="0" collapsed="false">
      <c r="V183" s="55"/>
      <c r="X183" s="57"/>
      <c r="Y183" s="28"/>
      <c r="Z183" s="86" t="n">
        <f aca="false">SUM(Z179:Z182)</f>
        <v>9.401914</v>
      </c>
    </row>
    <row r="184" customFormat="false" ht="15" hidden="false" customHeight="false" outlineLevel="0" collapsed="false">
      <c r="R184" s="87" t="s">
        <v>310</v>
      </c>
    </row>
    <row r="185" customFormat="false" ht="15" hidden="false" customHeight="false" outlineLevel="0" collapsed="false">
      <c r="R185" s="1" t="s">
        <v>311</v>
      </c>
      <c r="V185" s="55" t="s">
        <v>312</v>
      </c>
      <c r="X185" s="57" t="n">
        <v>3</v>
      </c>
      <c r="Y185" s="28" t="n">
        <f aca="false">Z177</f>
        <v>15.5493333333333</v>
      </c>
      <c r="Z185" s="28" t="n">
        <f aca="false">X185%*Y185</f>
        <v>0.46648</v>
      </c>
    </row>
    <row r="186" customFormat="false" ht="15" hidden="false" customHeight="false" outlineLevel="0" collapsed="false">
      <c r="R186" s="1" t="s">
        <v>668</v>
      </c>
      <c r="V186" s="55" t="s">
        <v>338</v>
      </c>
      <c r="W186" s="56" t="n">
        <v>1</v>
      </c>
      <c r="X186" s="57" t="n">
        <f aca="false">W186*8/$T$171</f>
        <v>0.0666666666666667</v>
      </c>
      <c r="Y186" s="28" t="n">
        <v>25.63</v>
      </c>
      <c r="Z186" s="28" t="n">
        <f aca="false">X186*Y186</f>
        <v>1.70866666666667</v>
      </c>
    </row>
    <row r="187" customFormat="false" ht="15" hidden="false" customHeight="false" outlineLevel="0" collapsed="false">
      <c r="Q187" s="60"/>
      <c r="R187" s="60"/>
      <c r="S187" s="60"/>
      <c r="T187" s="60"/>
      <c r="U187" s="60"/>
      <c r="V187" s="60"/>
      <c r="W187" s="60"/>
      <c r="X187" s="60"/>
      <c r="Y187" s="60"/>
      <c r="Z187" s="89" t="n">
        <f aca="false">SUM(Z185:Z186)</f>
        <v>2.17514666666667</v>
      </c>
    </row>
    <row r="189" customFormat="false" ht="15" hidden="false" customHeight="false" outlineLevel="0" collapsed="false">
      <c r="Q189" s="82" t="s">
        <v>278</v>
      </c>
      <c r="R189" s="82"/>
      <c r="S189" s="82" t="s">
        <v>497</v>
      </c>
      <c r="T189" s="82"/>
    </row>
    <row r="190" customFormat="false" ht="15" hidden="false" customHeight="false" outlineLevel="0" collapsed="false">
      <c r="Q190" s="82" t="s">
        <v>279</v>
      </c>
      <c r="R190" s="82" t="s">
        <v>417</v>
      </c>
      <c r="S190" s="84" t="s">
        <v>281</v>
      </c>
      <c r="T190" s="85" t="n">
        <v>25</v>
      </c>
      <c r="U190" s="84" t="s">
        <v>282</v>
      </c>
      <c r="V190" s="85" t="n">
        <f aca="false">T190</f>
        <v>25</v>
      </c>
      <c r="W190" s="82" t="s">
        <v>283</v>
      </c>
      <c r="Y190" s="84" t="s">
        <v>204</v>
      </c>
      <c r="Z190" s="86" t="n">
        <f aca="false">Z196+Z204+Z209</f>
        <v>426.397544</v>
      </c>
    </row>
    <row r="191" customFormat="false" ht="15" hidden="false" customHeight="false" outlineLevel="0" collapsed="false">
      <c r="Q191" s="82" t="s">
        <v>284</v>
      </c>
      <c r="R191" s="82" t="s">
        <v>285</v>
      </c>
      <c r="V191" s="84" t="s">
        <v>123</v>
      </c>
      <c r="W191" s="84" t="s">
        <v>286</v>
      </c>
      <c r="X191" s="84" t="s">
        <v>287</v>
      </c>
      <c r="Y191" s="84" t="s">
        <v>288</v>
      </c>
      <c r="Z191" s="84" t="s">
        <v>289</v>
      </c>
    </row>
    <row r="192" customFormat="false" ht="15" hidden="false" customHeight="false" outlineLevel="0" collapsed="false">
      <c r="R192" s="87" t="s">
        <v>290</v>
      </c>
    </row>
    <row r="193" customFormat="false" ht="15" hidden="false" customHeight="false" outlineLevel="0" collapsed="false">
      <c r="R193" s="1" t="s">
        <v>291</v>
      </c>
      <c r="V193" s="55" t="s">
        <v>292</v>
      </c>
      <c r="W193" s="56" t="n">
        <v>2</v>
      </c>
      <c r="X193" s="57" t="n">
        <f aca="false">W193*8/$T$190</f>
        <v>0.64</v>
      </c>
      <c r="Y193" s="28" t="n">
        <v>28.94</v>
      </c>
      <c r="Z193" s="28" t="n">
        <f aca="false">X193*Y193</f>
        <v>18.5216</v>
      </c>
    </row>
    <row r="194" customFormat="false" ht="15" hidden="false" customHeight="false" outlineLevel="0" collapsed="false">
      <c r="R194" s="1" t="s">
        <v>293</v>
      </c>
      <c r="V194" s="55" t="s">
        <v>292</v>
      </c>
      <c r="W194" s="56" t="n">
        <v>2</v>
      </c>
      <c r="X194" s="57" t="n">
        <f aca="false">W194*8/$T$190</f>
        <v>0.64</v>
      </c>
      <c r="Y194" s="28" t="n">
        <v>23.6</v>
      </c>
      <c r="Z194" s="28" t="n">
        <f aca="false">X194*Y194</f>
        <v>15.104</v>
      </c>
    </row>
    <row r="195" customFormat="false" ht="15" hidden="false" customHeight="false" outlineLevel="0" collapsed="false">
      <c r="R195" s="1" t="s">
        <v>294</v>
      </c>
      <c r="V195" s="55" t="s">
        <v>292</v>
      </c>
      <c r="W195" s="56" t="n">
        <v>6</v>
      </c>
      <c r="X195" s="57" t="n">
        <f aca="false">W195*8/$T$190</f>
        <v>1.92</v>
      </c>
      <c r="Y195" s="28" t="n">
        <v>21.36</v>
      </c>
      <c r="Z195" s="28" t="n">
        <f aca="false">X195*Y195</f>
        <v>41.0112</v>
      </c>
    </row>
    <row r="196" customFormat="false" ht="15" hidden="false" customHeight="false" outlineLevel="0" collapsed="false">
      <c r="V196" s="55"/>
      <c r="W196" s="56"/>
      <c r="X196" s="57"/>
      <c r="Z196" s="86" t="n">
        <f aca="false">SUM(Z193:Z195)</f>
        <v>74.6368</v>
      </c>
    </row>
    <row r="197" customFormat="false" ht="15" hidden="false" customHeight="false" outlineLevel="0" collapsed="false">
      <c r="R197" s="87" t="s">
        <v>654</v>
      </c>
      <c r="V197" s="55"/>
      <c r="W197" s="56"/>
      <c r="X197" s="57"/>
      <c r="Z197" s="28"/>
    </row>
    <row r="198" customFormat="false" ht="15" hidden="false" customHeight="false" outlineLevel="0" collapsed="false">
      <c r="R198" s="1" t="s">
        <v>673</v>
      </c>
      <c r="V198" s="55" t="s">
        <v>204</v>
      </c>
      <c r="X198" s="57" t="n">
        <v>0.53</v>
      </c>
      <c r="Y198" s="28" t="n">
        <v>55.08</v>
      </c>
      <c r="Z198" s="28" t="n">
        <f aca="false">X198*Y198</f>
        <v>29.1924</v>
      </c>
    </row>
    <row r="199" customFormat="false" ht="15" hidden="false" customHeight="false" outlineLevel="0" collapsed="false">
      <c r="R199" s="1" t="s">
        <v>674</v>
      </c>
      <c r="V199" s="55" t="s">
        <v>204</v>
      </c>
      <c r="X199" s="57" t="n">
        <v>0.52</v>
      </c>
      <c r="Y199" s="28" t="n">
        <v>47</v>
      </c>
      <c r="Z199" s="28" t="n">
        <f aca="false">X199*Y199</f>
        <v>24.44</v>
      </c>
    </row>
    <row r="200" customFormat="false" ht="15" hidden="false" customHeight="false" outlineLevel="0" collapsed="false">
      <c r="R200" s="1" t="s">
        <v>307</v>
      </c>
      <c r="V200" s="55" t="s">
        <v>308</v>
      </c>
      <c r="X200" s="57" t="n">
        <v>9.73</v>
      </c>
      <c r="Y200" s="28" t="n">
        <v>24.52</v>
      </c>
      <c r="Z200" s="28" t="n">
        <f aca="false">X200*Y200</f>
        <v>238.5796</v>
      </c>
    </row>
    <row r="201" customFormat="false" ht="15" hidden="false" customHeight="false" outlineLevel="0" collapsed="false">
      <c r="R201" s="1" t="s">
        <v>656</v>
      </c>
      <c r="V201" s="55" t="s">
        <v>204</v>
      </c>
      <c r="X201" s="57" t="n">
        <v>0.186</v>
      </c>
      <c r="Y201" s="1" t="n">
        <v>6.14</v>
      </c>
      <c r="Z201" s="28" t="n">
        <f aca="false">X201*Y201</f>
        <v>1.14204</v>
      </c>
    </row>
    <row r="202" customFormat="false" ht="15" hidden="false" customHeight="false" outlineLevel="0" collapsed="false">
      <c r="R202" s="1" t="s">
        <v>666</v>
      </c>
      <c r="V202" s="55" t="s">
        <v>440</v>
      </c>
      <c r="X202" s="57" t="n">
        <v>0.36</v>
      </c>
      <c r="Y202" s="1" t="n">
        <v>13.93</v>
      </c>
      <c r="Z202" s="28" t="n">
        <f aca="false">X202*Y202</f>
        <v>5.0148</v>
      </c>
    </row>
    <row r="203" customFormat="false" ht="15" hidden="false" customHeight="false" outlineLevel="0" collapsed="false">
      <c r="R203" s="1" t="s">
        <v>675</v>
      </c>
      <c r="V203" s="55" t="s">
        <v>440</v>
      </c>
      <c r="X203" s="57" t="n">
        <v>1.5</v>
      </c>
      <c r="Y203" s="88" t="n">
        <v>27.88</v>
      </c>
      <c r="Z203" s="28" t="n">
        <f aca="false">X203*Y203</f>
        <v>41.82</v>
      </c>
    </row>
    <row r="204" customFormat="false" ht="15" hidden="false" customHeight="false" outlineLevel="0" collapsed="false">
      <c r="V204" s="55"/>
      <c r="X204" s="57"/>
      <c r="Y204" s="28"/>
      <c r="Z204" s="86" t="n">
        <f aca="false">SUM(Z198:Z203)</f>
        <v>340.18884</v>
      </c>
    </row>
    <row r="205" customFormat="false" ht="15" hidden="false" customHeight="false" outlineLevel="0" collapsed="false">
      <c r="R205" s="87" t="s">
        <v>310</v>
      </c>
    </row>
    <row r="206" customFormat="false" ht="15" hidden="false" customHeight="false" outlineLevel="0" collapsed="false">
      <c r="R206" s="1" t="s">
        <v>311</v>
      </c>
      <c r="V206" s="55" t="s">
        <v>312</v>
      </c>
      <c r="X206" s="57" t="n">
        <v>3</v>
      </c>
      <c r="Y206" s="28" t="n">
        <f aca="false">Z196</f>
        <v>74.6368</v>
      </c>
      <c r="Z206" s="28" t="n">
        <f aca="false">X206%*Y206</f>
        <v>2.239104</v>
      </c>
    </row>
    <row r="207" customFormat="false" ht="15" hidden="false" customHeight="false" outlineLevel="0" collapsed="false">
      <c r="R207" s="1" t="s">
        <v>668</v>
      </c>
      <c r="V207" s="55" t="s">
        <v>338</v>
      </c>
      <c r="W207" s="56" t="n">
        <v>1</v>
      </c>
      <c r="X207" s="57" t="n">
        <f aca="false">W207*8/$T$190</f>
        <v>0.32</v>
      </c>
      <c r="Y207" s="28" t="n">
        <v>25.63</v>
      </c>
      <c r="Z207" s="28" t="n">
        <f aca="false">X207*Y207</f>
        <v>8.2016</v>
      </c>
    </row>
    <row r="208" customFormat="false" ht="15" hidden="false" customHeight="false" outlineLevel="0" collapsed="false">
      <c r="R208" s="1" t="s">
        <v>676</v>
      </c>
      <c r="V208" s="55" t="s">
        <v>338</v>
      </c>
      <c r="W208" s="56" t="n">
        <v>0.5</v>
      </c>
      <c r="X208" s="57" t="n">
        <f aca="false">W208*8/$T$190</f>
        <v>0.16</v>
      </c>
      <c r="Y208" s="28" t="n">
        <v>7.07</v>
      </c>
      <c r="Z208" s="28" t="n">
        <f aca="false">X208*Y208</f>
        <v>1.1312</v>
      </c>
    </row>
    <row r="209" customFormat="false" ht="15" hidden="false" customHeight="false" outlineLevel="0" collapsed="false">
      <c r="Q209" s="60"/>
      <c r="R209" s="60"/>
      <c r="S209" s="60"/>
      <c r="T209" s="60"/>
      <c r="U209" s="60"/>
      <c r="V209" s="60"/>
      <c r="W209" s="60"/>
      <c r="X209" s="60"/>
      <c r="Y209" s="60"/>
      <c r="Z209" s="89" t="n">
        <f aca="false">SUM(Z206:Z208)</f>
        <v>11.571904</v>
      </c>
    </row>
    <row r="211" customFormat="false" ht="15" hidden="false" customHeight="false" outlineLevel="0" collapsed="false">
      <c r="Q211" s="82" t="s">
        <v>278</v>
      </c>
      <c r="R211" s="82"/>
      <c r="S211" s="82" t="s">
        <v>677</v>
      </c>
      <c r="T211" s="82"/>
    </row>
    <row r="212" customFormat="false" ht="15" hidden="false" customHeight="false" outlineLevel="0" collapsed="false">
      <c r="Q212" s="82" t="s">
        <v>279</v>
      </c>
      <c r="R212" s="82" t="s">
        <v>280</v>
      </c>
      <c r="S212" s="84" t="s">
        <v>281</v>
      </c>
      <c r="T212" s="85" t="n">
        <v>8</v>
      </c>
      <c r="U212" s="84" t="s">
        <v>282</v>
      </c>
      <c r="V212" s="85" t="n">
        <f aca="false">T212</f>
        <v>8</v>
      </c>
      <c r="W212" s="82" t="s">
        <v>283</v>
      </c>
      <c r="Y212" s="84" t="s">
        <v>134</v>
      </c>
      <c r="Z212" s="86" t="n">
        <f aca="false">Z217+Z222+Z225</f>
        <v>75.1142</v>
      </c>
    </row>
    <row r="213" customFormat="false" ht="15" hidden="false" customHeight="false" outlineLevel="0" collapsed="false">
      <c r="Q213" s="82" t="s">
        <v>284</v>
      </c>
      <c r="R213" s="82" t="s">
        <v>285</v>
      </c>
      <c r="V213" s="84" t="s">
        <v>123</v>
      </c>
      <c r="W213" s="84" t="s">
        <v>286</v>
      </c>
      <c r="X213" s="84" t="s">
        <v>287</v>
      </c>
      <c r="Y213" s="84" t="s">
        <v>288</v>
      </c>
      <c r="Z213" s="84" t="s">
        <v>289</v>
      </c>
    </row>
    <row r="214" customFormat="false" ht="15" hidden="false" customHeight="false" outlineLevel="0" collapsed="false">
      <c r="R214" s="87" t="s">
        <v>290</v>
      </c>
    </row>
    <row r="215" customFormat="false" ht="15" hidden="false" customHeight="false" outlineLevel="0" collapsed="false">
      <c r="R215" s="1" t="s">
        <v>291</v>
      </c>
      <c r="V215" s="55" t="s">
        <v>292</v>
      </c>
      <c r="W215" s="56" t="n">
        <v>1</v>
      </c>
      <c r="X215" s="57" t="n">
        <f aca="false">W215*8/$T$212</f>
        <v>1</v>
      </c>
      <c r="Y215" s="28" t="n">
        <v>28.94</v>
      </c>
      <c r="Z215" s="28" t="n">
        <f aca="false">X215*Y215</f>
        <v>28.94</v>
      </c>
    </row>
    <row r="216" customFormat="false" ht="15" hidden="false" customHeight="false" outlineLevel="0" collapsed="false">
      <c r="R216" s="1" t="s">
        <v>293</v>
      </c>
      <c r="V216" s="55" t="s">
        <v>292</v>
      </c>
      <c r="W216" s="56" t="n">
        <v>1</v>
      </c>
      <c r="X216" s="57" t="n">
        <f aca="false">W216*8/$T$212</f>
        <v>1</v>
      </c>
      <c r="Y216" s="28" t="n">
        <v>23.6</v>
      </c>
      <c r="Z216" s="28" t="n">
        <f aca="false">X216*Y216</f>
        <v>23.6</v>
      </c>
    </row>
    <row r="217" customFormat="false" ht="15" hidden="false" customHeight="false" outlineLevel="0" collapsed="false">
      <c r="V217" s="55"/>
      <c r="W217" s="56"/>
      <c r="X217" s="57"/>
      <c r="Z217" s="86" t="n">
        <f aca="false">SUM(Z215:Z216)</f>
        <v>52.54</v>
      </c>
    </row>
    <row r="218" customFormat="false" ht="15" hidden="false" customHeight="false" outlineLevel="0" collapsed="false">
      <c r="R218" s="87" t="s">
        <v>654</v>
      </c>
      <c r="V218" s="55"/>
      <c r="W218" s="56"/>
      <c r="X218" s="57"/>
      <c r="Z218" s="28"/>
    </row>
    <row r="219" customFormat="false" ht="15" hidden="false" customHeight="false" outlineLevel="0" collapsed="false">
      <c r="R219" s="1" t="s">
        <v>678</v>
      </c>
      <c r="V219" s="55" t="s">
        <v>297</v>
      </c>
      <c r="X219" s="57" t="n">
        <v>0.26</v>
      </c>
      <c r="Y219" s="28" t="n">
        <v>2.64</v>
      </c>
      <c r="Z219" s="28" t="n">
        <f aca="false">X219*Y219</f>
        <v>0.6864</v>
      </c>
    </row>
    <row r="220" customFormat="false" ht="15" hidden="false" customHeight="false" outlineLevel="0" collapsed="false">
      <c r="R220" s="1" t="s">
        <v>302</v>
      </c>
      <c r="V220" s="55" t="s">
        <v>297</v>
      </c>
      <c r="X220" s="57" t="n">
        <v>0.16</v>
      </c>
      <c r="Y220" s="28" t="n">
        <v>5.51</v>
      </c>
      <c r="Z220" s="28" t="n">
        <f aca="false">X220*Y220</f>
        <v>0.8816</v>
      </c>
    </row>
    <row r="221" customFormat="false" ht="15" hidden="false" customHeight="false" outlineLevel="0" collapsed="false">
      <c r="R221" s="1" t="s">
        <v>670</v>
      </c>
      <c r="V221" s="55" t="s">
        <v>306</v>
      </c>
      <c r="X221" s="57" t="n">
        <v>3.35</v>
      </c>
      <c r="Y221" s="28" t="n">
        <v>5.8</v>
      </c>
      <c r="Z221" s="28" t="n">
        <f aca="false">X221*Y221</f>
        <v>19.43</v>
      </c>
    </row>
    <row r="222" customFormat="false" ht="15" hidden="false" customHeight="false" outlineLevel="0" collapsed="false">
      <c r="V222" s="55"/>
      <c r="X222" s="57"/>
      <c r="Y222" s="28"/>
      <c r="Z222" s="86" t="n">
        <f aca="false">SUM(Z219:Z221)</f>
        <v>20.998</v>
      </c>
    </row>
    <row r="223" customFormat="false" ht="15" hidden="false" customHeight="false" outlineLevel="0" collapsed="false">
      <c r="R223" s="87" t="s">
        <v>310</v>
      </c>
    </row>
    <row r="224" customFormat="false" ht="15" hidden="false" customHeight="false" outlineLevel="0" collapsed="false">
      <c r="R224" s="1" t="s">
        <v>311</v>
      </c>
      <c r="V224" s="55" t="s">
        <v>312</v>
      </c>
      <c r="X224" s="57" t="n">
        <v>3</v>
      </c>
      <c r="Y224" s="28" t="n">
        <f aca="false">Z217</f>
        <v>52.54</v>
      </c>
      <c r="Z224" s="28" t="n">
        <f aca="false">X224%*Y224</f>
        <v>1.5762</v>
      </c>
    </row>
    <row r="225" customFormat="false" ht="15" hidden="false" customHeight="false" outlineLevel="0" collapsed="false">
      <c r="Q225" s="60"/>
      <c r="R225" s="60"/>
      <c r="S225" s="60"/>
      <c r="T225" s="60"/>
      <c r="U225" s="60"/>
      <c r="V225" s="60"/>
      <c r="W225" s="60"/>
      <c r="X225" s="60"/>
      <c r="Y225" s="60"/>
      <c r="Z225" s="89" t="n">
        <f aca="false">SUM(Z224)</f>
        <v>1.5762</v>
      </c>
    </row>
    <row r="228" customFormat="false" ht="15" hidden="false" customHeight="false" outlineLevel="0" collapsed="false">
      <c r="Q228" s="82" t="s">
        <v>278</v>
      </c>
      <c r="R228" s="82"/>
      <c r="S228" s="82" t="s">
        <v>499</v>
      </c>
      <c r="T228" s="82"/>
    </row>
    <row r="229" customFormat="false" ht="15" hidden="false" customHeight="false" outlineLevel="0" collapsed="false">
      <c r="Q229" s="82" t="s">
        <v>279</v>
      </c>
      <c r="R229" s="82" t="s">
        <v>679</v>
      </c>
      <c r="S229" s="84" t="s">
        <v>281</v>
      </c>
      <c r="T229" s="85" t="n">
        <v>250</v>
      </c>
      <c r="U229" s="84" t="s">
        <v>282</v>
      </c>
      <c r="V229" s="85" t="n">
        <f aca="false">T229</f>
        <v>250</v>
      </c>
      <c r="W229" s="82" t="s">
        <v>283</v>
      </c>
      <c r="Y229" s="84" t="s">
        <v>297</v>
      </c>
      <c r="Z229" s="86" t="n">
        <f aca="false">Z234+Z238+Z242</f>
        <v>5.5639628445</v>
      </c>
    </row>
    <row r="230" customFormat="false" ht="15" hidden="false" customHeight="false" outlineLevel="0" collapsed="false">
      <c r="Q230" s="82" t="s">
        <v>284</v>
      </c>
      <c r="R230" s="82" t="s">
        <v>285</v>
      </c>
      <c r="V230" s="84" t="s">
        <v>123</v>
      </c>
      <c r="W230" s="84" t="s">
        <v>286</v>
      </c>
      <c r="X230" s="84" t="s">
        <v>287</v>
      </c>
      <c r="Y230" s="84" t="s">
        <v>288</v>
      </c>
      <c r="Z230" s="84" t="s">
        <v>289</v>
      </c>
    </row>
    <row r="231" customFormat="false" ht="15" hidden="false" customHeight="false" outlineLevel="0" collapsed="false">
      <c r="R231" s="87" t="s">
        <v>290</v>
      </c>
      <c r="W231" s="56"/>
    </row>
    <row r="232" customFormat="false" ht="15" hidden="false" customHeight="false" outlineLevel="0" collapsed="false">
      <c r="R232" s="1" t="s">
        <v>291</v>
      </c>
      <c r="V232" s="55" t="s">
        <v>292</v>
      </c>
      <c r="W232" s="56" t="n">
        <v>1</v>
      </c>
      <c r="X232" s="99" t="n">
        <f aca="false">W232*8/$T$229</f>
        <v>0.032</v>
      </c>
      <c r="Y232" s="28" t="n">
        <v>28.94</v>
      </c>
      <c r="Z232" s="28" t="n">
        <f aca="false">X232*Y232</f>
        <v>0.92608</v>
      </c>
    </row>
    <row r="233" customFormat="false" ht="15" hidden="false" customHeight="false" outlineLevel="0" collapsed="false">
      <c r="R233" s="1" t="s">
        <v>680</v>
      </c>
      <c r="V233" s="55" t="s">
        <v>292</v>
      </c>
      <c r="W233" s="56" t="n">
        <v>1</v>
      </c>
      <c r="X233" s="99" t="n">
        <f aca="false">W233*8/$T$229</f>
        <v>0.032</v>
      </c>
      <c r="Y233" s="28" t="n">
        <v>23.6</v>
      </c>
      <c r="Z233" s="28" t="n">
        <f aca="false">X233*Y233</f>
        <v>0.7552</v>
      </c>
    </row>
    <row r="234" customFormat="false" ht="15" hidden="false" customHeight="false" outlineLevel="0" collapsed="false">
      <c r="V234" s="55"/>
      <c r="W234" s="56"/>
      <c r="Z234" s="86" t="n">
        <f aca="false">SUM(Z232:Z233)</f>
        <v>1.68128</v>
      </c>
    </row>
    <row r="235" customFormat="false" ht="15" hidden="false" customHeight="false" outlineLevel="0" collapsed="false">
      <c r="R235" s="87" t="s">
        <v>295</v>
      </c>
      <c r="V235" s="55"/>
      <c r="W235" s="56"/>
      <c r="X235" s="99"/>
    </row>
    <row r="236" customFormat="false" ht="15" hidden="false" customHeight="false" outlineLevel="0" collapsed="false">
      <c r="R236" s="1" t="s">
        <v>296</v>
      </c>
      <c r="V236" s="55" t="s">
        <v>297</v>
      </c>
      <c r="W236" s="56"/>
      <c r="X236" s="99" t="n">
        <v>0.03</v>
      </c>
      <c r="Y236" s="28" t="n">
        <v>2.64</v>
      </c>
      <c r="Z236" s="28" t="n">
        <f aca="false">X236*Y236</f>
        <v>0.0792</v>
      </c>
    </row>
    <row r="237" customFormat="false" ht="15" hidden="false" customHeight="false" outlineLevel="0" collapsed="false">
      <c r="R237" s="1" t="s">
        <v>681</v>
      </c>
      <c r="V237" s="55" t="s">
        <v>297</v>
      </c>
      <c r="W237" s="56"/>
      <c r="X237" s="99" t="n">
        <v>1.05</v>
      </c>
      <c r="Y237" s="28" t="n">
        <f aca="false">1012.71*3.379/1000</f>
        <v>3.42194709</v>
      </c>
      <c r="Z237" s="28" t="n">
        <f aca="false">X237*Y237</f>
        <v>3.5930444445</v>
      </c>
    </row>
    <row r="238" customFormat="false" ht="15" hidden="false" customHeight="false" outlineLevel="0" collapsed="false">
      <c r="V238" s="55"/>
      <c r="W238" s="56"/>
      <c r="Z238" s="86" t="n">
        <f aca="false">SUM(Z236:Z237)</f>
        <v>3.6722444445</v>
      </c>
    </row>
    <row r="239" customFormat="false" ht="15" hidden="false" customHeight="false" outlineLevel="0" collapsed="false">
      <c r="R239" s="87" t="s">
        <v>318</v>
      </c>
      <c r="V239" s="55"/>
      <c r="W239" s="56"/>
    </row>
    <row r="240" customFormat="false" ht="15" hidden="false" customHeight="false" outlineLevel="0" collapsed="false">
      <c r="R240" s="1" t="s">
        <v>311</v>
      </c>
      <c r="V240" s="55" t="s">
        <v>312</v>
      </c>
      <c r="X240" s="57" t="n">
        <v>3</v>
      </c>
      <c r="Y240" s="28" t="n">
        <f aca="false">Z234</f>
        <v>1.68128</v>
      </c>
      <c r="Z240" s="28" t="n">
        <f aca="false">X240%*Y240</f>
        <v>0.0504384</v>
      </c>
    </row>
    <row r="241" customFormat="false" ht="15" hidden="false" customHeight="false" outlineLevel="0" collapsed="false">
      <c r="R241" s="1" t="s">
        <v>682</v>
      </c>
      <c r="V241" s="55" t="s">
        <v>292</v>
      </c>
      <c r="W241" s="56" t="n">
        <v>1</v>
      </c>
      <c r="X241" s="99" t="n">
        <f aca="false">W241*8/$T$229</f>
        <v>0.032</v>
      </c>
      <c r="Y241" s="46" t="n">
        <v>5</v>
      </c>
      <c r="Z241" s="28" t="n">
        <f aca="false">X241*Y241</f>
        <v>0.16</v>
      </c>
    </row>
    <row r="242" customFormat="false" ht="15" hidden="false" customHeight="false" outlineLevel="0" collapsed="false">
      <c r="Q242" s="60"/>
      <c r="R242" s="60"/>
      <c r="S242" s="60"/>
      <c r="T242" s="60"/>
      <c r="U242" s="60"/>
      <c r="V242" s="60"/>
      <c r="W242" s="60"/>
      <c r="X242" s="60"/>
      <c r="Y242" s="60"/>
      <c r="Z242" s="89" t="n">
        <f aca="false">SUM(Z240:Z241)</f>
        <v>0.2104384</v>
      </c>
    </row>
    <row r="244" customFormat="false" ht="15" hidden="false" customHeight="false" outlineLevel="0" collapsed="false">
      <c r="Q244" s="82" t="s">
        <v>278</v>
      </c>
      <c r="R244" s="82"/>
      <c r="S244" s="82" t="s">
        <v>511</v>
      </c>
      <c r="T244" s="82"/>
    </row>
    <row r="245" customFormat="false" ht="15" hidden="false" customHeight="false" outlineLevel="0" collapsed="false">
      <c r="Q245" s="82" t="s">
        <v>279</v>
      </c>
      <c r="R245" s="82" t="s">
        <v>417</v>
      </c>
      <c r="S245" s="84" t="s">
        <v>281</v>
      </c>
      <c r="T245" s="85" t="n">
        <v>20</v>
      </c>
      <c r="U245" s="84" t="s">
        <v>282</v>
      </c>
      <c r="V245" s="85" t="n">
        <f aca="false">T245</f>
        <v>20</v>
      </c>
      <c r="W245" s="82" t="s">
        <v>283</v>
      </c>
      <c r="Y245" s="84" t="s">
        <v>204</v>
      </c>
      <c r="Z245" s="86" t="n">
        <f aca="false">Z251+Z259+Z264</f>
        <v>438.22652</v>
      </c>
    </row>
    <row r="246" customFormat="false" ht="15" hidden="false" customHeight="false" outlineLevel="0" collapsed="false">
      <c r="Q246" s="82" t="s">
        <v>284</v>
      </c>
      <c r="R246" s="82" t="s">
        <v>285</v>
      </c>
      <c r="V246" s="84" t="s">
        <v>123</v>
      </c>
      <c r="W246" s="84" t="s">
        <v>286</v>
      </c>
      <c r="X246" s="84" t="s">
        <v>287</v>
      </c>
      <c r="Y246" s="84" t="s">
        <v>288</v>
      </c>
      <c r="Z246" s="84" t="s">
        <v>289</v>
      </c>
    </row>
    <row r="247" customFormat="false" ht="15" hidden="false" customHeight="false" outlineLevel="0" collapsed="false">
      <c r="R247" s="87" t="s">
        <v>290</v>
      </c>
    </row>
    <row r="248" customFormat="false" ht="15" hidden="false" customHeight="false" outlineLevel="0" collapsed="false">
      <c r="R248" s="1" t="s">
        <v>291</v>
      </c>
      <c r="V248" s="55" t="s">
        <v>292</v>
      </c>
      <c r="W248" s="56" t="n">
        <v>2</v>
      </c>
      <c r="X248" s="57" t="n">
        <f aca="false">W248*8/$T$245</f>
        <v>0.8</v>
      </c>
      <c r="Y248" s="28" t="n">
        <v>28.94</v>
      </c>
      <c r="Z248" s="28" t="n">
        <f aca="false">X248*Y248</f>
        <v>23.152</v>
      </c>
    </row>
    <row r="249" customFormat="false" ht="15" hidden="false" customHeight="false" outlineLevel="0" collapsed="false">
      <c r="R249" s="1" t="s">
        <v>293</v>
      </c>
      <c r="V249" s="55" t="s">
        <v>292</v>
      </c>
      <c r="W249" s="56" t="n">
        <v>1</v>
      </c>
      <c r="X249" s="57" t="n">
        <f aca="false">W249*8/$T$245</f>
        <v>0.4</v>
      </c>
      <c r="Y249" s="28" t="n">
        <v>23.6</v>
      </c>
      <c r="Z249" s="28" t="n">
        <f aca="false">X249*Y249</f>
        <v>9.44</v>
      </c>
    </row>
    <row r="250" customFormat="false" ht="15" hidden="false" customHeight="false" outlineLevel="0" collapsed="false">
      <c r="R250" s="1" t="s">
        <v>294</v>
      </c>
      <c r="V250" s="55" t="s">
        <v>292</v>
      </c>
      <c r="W250" s="56" t="n">
        <v>6</v>
      </c>
      <c r="X250" s="57" t="n">
        <f aca="false">W250*8/$T$245</f>
        <v>2.4</v>
      </c>
      <c r="Y250" s="28" t="n">
        <v>21.36</v>
      </c>
      <c r="Z250" s="28" t="n">
        <f aca="false">X250*Y250</f>
        <v>51.264</v>
      </c>
    </row>
    <row r="251" customFormat="false" ht="15" hidden="false" customHeight="false" outlineLevel="0" collapsed="false">
      <c r="V251" s="55"/>
      <c r="W251" s="56"/>
      <c r="X251" s="57"/>
      <c r="Z251" s="86" t="n">
        <f aca="false">SUM(Z248:Z250)</f>
        <v>83.856</v>
      </c>
    </row>
    <row r="252" customFormat="false" ht="15" hidden="false" customHeight="false" outlineLevel="0" collapsed="false">
      <c r="R252" s="87" t="s">
        <v>654</v>
      </c>
      <c r="V252" s="55"/>
      <c r="W252" s="56"/>
      <c r="X252" s="57"/>
      <c r="Z252" s="28"/>
    </row>
    <row r="253" customFormat="false" ht="15" hidden="false" customHeight="false" outlineLevel="0" collapsed="false">
      <c r="R253" s="1" t="s">
        <v>673</v>
      </c>
      <c r="V253" s="55" t="s">
        <v>204</v>
      </c>
      <c r="X253" s="57" t="n">
        <v>0.53</v>
      </c>
      <c r="Y253" s="28" t="n">
        <v>55.08</v>
      </c>
      <c r="Z253" s="28" t="n">
        <f aca="false">X253*Y253</f>
        <v>29.1924</v>
      </c>
    </row>
    <row r="254" customFormat="false" ht="15" hidden="false" customHeight="false" outlineLevel="0" collapsed="false">
      <c r="R254" s="1" t="s">
        <v>674</v>
      </c>
      <c r="V254" s="55" t="s">
        <v>204</v>
      </c>
      <c r="X254" s="57" t="n">
        <v>0.52</v>
      </c>
      <c r="Y254" s="28" t="n">
        <v>47</v>
      </c>
      <c r="Z254" s="28" t="n">
        <f aca="false">X254*Y254</f>
        <v>24.44</v>
      </c>
    </row>
    <row r="255" customFormat="false" ht="15" hidden="false" customHeight="false" outlineLevel="0" collapsed="false">
      <c r="R255" s="1" t="s">
        <v>307</v>
      </c>
      <c r="V255" s="55" t="s">
        <v>308</v>
      </c>
      <c r="X255" s="57" t="n">
        <v>9.73</v>
      </c>
      <c r="Y255" s="28" t="n">
        <v>24.52</v>
      </c>
      <c r="Z255" s="28" t="n">
        <f aca="false">X255*Y255</f>
        <v>238.5796</v>
      </c>
    </row>
    <row r="256" customFormat="false" ht="15" hidden="false" customHeight="false" outlineLevel="0" collapsed="false">
      <c r="R256" s="1" t="s">
        <v>656</v>
      </c>
      <c r="V256" s="55" t="s">
        <v>204</v>
      </c>
      <c r="X256" s="57" t="n">
        <v>0.186</v>
      </c>
      <c r="Y256" s="1" t="n">
        <v>6.14</v>
      </c>
      <c r="Z256" s="28" t="n">
        <f aca="false">X256*Y256</f>
        <v>1.14204</v>
      </c>
    </row>
    <row r="257" customFormat="false" ht="15" hidden="false" customHeight="false" outlineLevel="0" collapsed="false">
      <c r="R257" s="1" t="s">
        <v>666</v>
      </c>
      <c r="V257" s="55" t="s">
        <v>440</v>
      </c>
      <c r="X257" s="57" t="n">
        <v>0.36</v>
      </c>
      <c r="Y257" s="1" t="n">
        <v>13.93</v>
      </c>
      <c r="Z257" s="28" t="n">
        <f aca="false">X257*Y257</f>
        <v>5.0148</v>
      </c>
    </row>
    <row r="258" customFormat="false" ht="15" hidden="false" customHeight="false" outlineLevel="0" collapsed="false">
      <c r="R258" s="1" t="s">
        <v>675</v>
      </c>
      <c r="V258" s="55" t="s">
        <v>440</v>
      </c>
      <c r="X258" s="57" t="n">
        <v>1.5</v>
      </c>
      <c r="Y258" s="88" t="n">
        <v>27.88</v>
      </c>
      <c r="Z258" s="28" t="n">
        <f aca="false">X258*Y258</f>
        <v>41.82</v>
      </c>
    </row>
    <row r="259" customFormat="false" ht="15" hidden="false" customHeight="false" outlineLevel="0" collapsed="false">
      <c r="V259" s="55"/>
      <c r="X259" s="57"/>
      <c r="Y259" s="28"/>
      <c r="Z259" s="86" t="n">
        <f aca="false">SUM(Z253:Z258)</f>
        <v>340.18884</v>
      </c>
    </row>
    <row r="260" customFormat="false" ht="15" hidden="false" customHeight="false" outlineLevel="0" collapsed="false">
      <c r="R260" s="87" t="s">
        <v>310</v>
      </c>
    </row>
    <row r="261" customFormat="false" ht="15" hidden="false" customHeight="false" outlineLevel="0" collapsed="false">
      <c r="R261" s="1" t="s">
        <v>311</v>
      </c>
      <c r="V261" s="55" t="s">
        <v>312</v>
      </c>
      <c r="X261" s="57" t="n">
        <v>3</v>
      </c>
      <c r="Y261" s="28" t="n">
        <f aca="false">Z251</f>
        <v>83.856</v>
      </c>
      <c r="Z261" s="28" t="n">
        <f aca="false">X261%*Y261</f>
        <v>2.51568</v>
      </c>
    </row>
    <row r="262" customFormat="false" ht="15" hidden="false" customHeight="false" outlineLevel="0" collapsed="false">
      <c r="R262" s="1" t="s">
        <v>668</v>
      </c>
      <c r="V262" s="55" t="s">
        <v>338</v>
      </c>
      <c r="W262" s="56" t="n">
        <v>1</v>
      </c>
      <c r="X262" s="57" t="n">
        <f aca="false">W262*8/$T$245</f>
        <v>0.4</v>
      </c>
      <c r="Y262" s="28" t="n">
        <v>25.63</v>
      </c>
      <c r="Z262" s="28" t="n">
        <f aca="false">X262*Y262</f>
        <v>10.252</v>
      </c>
    </row>
    <row r="263" customFormat="false" ht="15" hidden="false" customHeight="false" outlineLevel="0" collapsed="false">
      <c r="R263" s="1" t="s">
        <v>676</v>
      </c>
      <c r="V263" s="55" t="s">
        <v>338</v>
      </c>
      <c r="W263" s="56" t="n">
        <v>0.5</v>
      </c>
      <c r="X263" s="57" t="n">
        <f aca="false">W263*8/$T$245</f>
        <v>0.2</v>
      </c>
      <c r="Y263" s="28" t="n">
        <v>7.07</v>
      </c>
      <c r="Z263" s="28" t="n">
        <f aca="false">X263*Y263</f>
        <v>1.414</v>
      </c>
    </row>
    <row r="264" customFormat="false" ht="15" hidden="false" customHeight="false" outlineLevel="0" collapsed="false">
      <c r="Q264" s="60"/>
      <c r="R264" s="60"/>
      <c r="S264" s="60"/>
      <c r="T264" s="60"/>
      <c r="U264" s="60"/>
      <c r="V264" s="60"/>
      <c r="W264" s="60"/>
      <c r="X264" s="60"/>
      <c r="Y264" s="60"/>
      <c r="Z264" s="89" t="n">
        <f aca="false">SUM(Z261:Z263)</f>
        <v>14.18168</v>
      </c>
    </row>
    <row r="265" customFormat="false" ht="15" hidden="false" customHeight="false" outlineLevel="0" collapsed="false">
      <c r="Z265" s="86"/>
    </row>
    <row r="266" customFormat="false" ht="15" hidden="false" customHeight="false" outlineLevel="0" collapsed="false">
      <c r="Q266" s="82" t="s">
        <v>278</v>
      </c>
      <c r="R266" s="82"/>
      <c r="S266" s="82" t="s">
        <v>513</v>
      </c>
      <c r="T266" s="82"/>
    </row>
    <row r="267" customFormat="false" ht="15" hidden="false" customHeight="false" outlineLevel="0" collapsed="false">
      <c r="Q267" s="82" t="s">
        <v>279</v>
      </c>
      <c r="R267" s="82" t="s">
        <v>280</v>
      </c>
      <c r="S267" s="84" t="s">
        <v>281</v>
      </c>
      <c r="T267" s="85" t="n">
        <v>20</v>
      </c>
      <c r="U267" s="84" t="s">
        <v>282</v>
      </c>
      <c r="V267" s="85" t="n">
        <f aca="false">T267</f>
        <v>20</v>
      </c>
      <c r="W267" s="82" t="s">
        <v>283</v>
      </c>
      <c r="Y267" s="84" t="s">
        <v>134</v>
      </c>
      <c r="Z267" s="86" t="n">
        <f aca="false">Z272+Z277+Z280</f>
        <v>64.02696</v>
      </c>
    </row>
    <row r="268" customFormat="false" ht="15" hidden="false" customHeight="false" outlineLevel="0" collapsed="false">
      <c r="Q268" s="82" t="s">
        <v>284</v>
      </c>
      <c r="R268" s="82" t="s">
        <v>285</v>
      </c>
      <c r="V268" s="84" t="s">
        <v>123</v>
      </c>
      <c r="W268" s="84" t="s">
        <v>286</v>
      </c>
      <c r="X268" s="84" t="s">
        <v>287</v>
      </c>
      <c r="Y268" s="84" t="s">
        <v>288</v>
      </c>
      <c r="Z268" s="84" t="s">
        <v>289</v>
      </c>
    </row>
    <row r="269" customFormat="false" ht="15" hidden="false" customHeight="false" outlineLevel="0" collapsed="false">
      <c r="R269" s="87" t="s">
        <v>290</v>
      </c>
      <c r="AC269" s="28"/>
    </row>
    <row r="270" customFormat="false" ht="15" hidden="false" customHeight="false" outlineLevel="0" collapsed="false">
      <c r="R270" s="1" t="s">
        <v>291</v>
      </c>
      <c r="V270" s="55" t="s">
        <v>292</v>
      </c>
      <c r="W270" s="56" t="n">
        <v>2</v>
      </c>
      <c r="X270" s="57" t="n">
        <f aca="false">W270*8/$T$267</f>
        <v>0.8</v>
      </c>
      <c r="Y270" s="28" t="n">
        <v>28.94</v>
      </c>
      <c r="Z270" s="28" t="n">
        <f aca="false">X270*Y270</f>
        <v>23.152</v>
      </c>
      <c r="AC270" s="28"/>
    </row>
    <row r="271" customFormat="false" ht="15" hidden="false" customHeight="false" outlineLevel="0" collapsed="false">
      <c r="R271" s="1" t="s">
        <v>293</v>
      </c>
      <c r="V271" s="55" t="s">
        <v>292</v>
      </c>
      <c r="W271" s="56" t="n">
        <v>2</v>
      </c>
      <c r="X271" s="57" t="n">
        <f aca="false">W271*8/$T$267</f>
        <v>0.8</v>
      </c>
      <c r="Y271" s="28" t="n">
        <v>23.6</v>
      </c>
      <c r="Z271" s="28" t="n">
        <f aca="false">X271*Y271</f>
        <v>18.88</v>
      </c>
    </row>
    <row r="272" customFormat="false" ht="15" hidden="false" customHeight="false" outlineLevel="0" collapsed="false">
      <c r="V272" s="55"/>
      <c r="W272" s="56"/>
      <c r="X272" s="57"/>
      <c r="Z272" s="86" t="n">
        <f aca="false">SUM(Z270:Z271)</f>
        <v>42.032</v>
      </c>
    </row>
    <row r="273" customFormat="false" ht="15" hidden="false" customHeight="false" outlineLevel="0" collapsed="false">
      <c r="R273" s="87" t="s">
        <v>654</v>
      </c>
      <c r="V273" s="55"/>
      <c r="W273" s="56"/>
      <c r="X273" s="57"/>
      <c r="Z273" s="28"/>
    </row>
    <row r="274" customFormat="false" ht="15" hidden="false" customHeight="false" outlineLevel="0" collapsed="false">
      <c r="R274" s="1" t="s">
        <v>678</v>
      </c>
      <c r="V274" s="55" t="s">
        <v>297</v>
      </c>
      <c r="X274" s="57" t="n">
        <v>0.16</v>
      </c>
      <c r="Y274" s="28" t="n">
        <v>2.64</v>
      </c>
      <c r="Z274" s="28" t="n">
        <f aca="false">X274*Y274</f>
        <v>0.4224</v>
      </c>
    </row>
    <row r="275" customFormat="false" ht="15" hidden="false" customHeight="false" outlineLevel="0" collapsed="false">
      <c r="R275" s="1" t="s">
        <v>302</v>
      </c>
      <c r="V275" s="55" t="s">
        <v>297</v>
      </c>
      <c r="X275" s="57" t="n">
        <v>0.16</v>
      </c>
      <c r="Y275" s="28" t="n">
        <v>5.51</v>
      </c>
      <c r="Z275" s="28" t="n">
        <f aca="false">X275*Y275</f>
        <v>0.8816</v>
      </c>
    </row>
    <row r="276" customFormat="false" ht="15" hidden="false" customHeight="false" outlineLevel="0" collapsed="false">
      <c r="R276" s="1" t="s">
        <v>670</v>
      </c>
      <c r="V276" s="55" t="s">
        <v>306</v>
      </c>
      <c r="X276" s="57" t="n">
        <v>3.35</v>
      </c>
      <c r="Y276" s="28" t="n">
        <v>5.8</v>
      </c>
      <c r="Z276" s="28" t="n">
        <f aca="false">X276*Y276</f>
        <v>19.43</v>
      </c>
    </row>
    <row r="277" customFormat="false" ht="15" hidden="false" customHeight="false" outlineLevel="0" collapsed="false">
      <c r="V277" s="55"/>
      <c r="X277" s="57"/>
      <c r="Y277" s="28"/>
      <c r="Z277" s="86" t="n">
        <f aca="false">SUM(Z274:Z276)</f>
        <v>20.734</v>
      </c>
    </row>
    <row r="278" customFormat="false" ht="15" hidden="false" customHeight="false" outlineLevel="0" collapsed="false">
      <c r="R278" s="87" t="s">
        <v>310</v>
      </c>
    </row>
    <row r="279" customFormat="false" ht="15" hidden="false" customHeight="false" outlineLevel="0" collapsed="false">
      <c r="R279" s="1" t="s">
        <v>311</v>
      </c>
      <c r="V279" s="55" t="s">
        <v>312</v>
      </c>
      <c r="X279" s="57" t="n">
        <v>3</v>
      </c>
      <c r="Y279" s="28" t="n">
        <f aca="false">Z272</f>
        <v>42.032</v>
      </c>
      <c r="Z279" s="28" t="n">
        <f aca="false">X279%*Y279</f>
        <v>1.26096</v>
      </c>
    </row>
    <row r="280" customFormat="false" ht="15" hidden="false" customHeight="false" outlineLevel="0" collapsed="false">
      <c r="Q280" s="60"/>
      <c r="R280" s="60"/>
      <c r="S280" s="60"/>
      <c r="T280" s="60"/>
      <c r="U280" s="60"/>
      <c r="V280" s="60"/>
      <c r="W280" s="60"/>
      <c r="X280" s="60"/>
      <c r="Y280" s="60"/>
      <c r="Z280" s="89" t="n">
        <f aca="false">SUM(Z279)</f>
        <v>1.26096</v>
      </c>
    </row>
    <row r="281" customFormat="false" ht="15" hidden="false" customHeight="false" outlineLevel="0" collapsed="false">
      <c r="Z281" s="86"/>
    </row>
    <row r="282" customFormat="false" ht="15" hidden="false" customHeight="false" outlineLevel="0" collapsed="false">
      <c r="Q282" s="82" t="s">
        <v>278</v>
      </c>
      <c r="R282" s="82"/>
      <c r="S282" s="82" t="s">
        <v>685</v>
      </c>
      <c r="T282" s="82"/>
    </row>
    <row r="283" customFormat="false" ht="15" hidden="false" customHeight="false" outlineLevel="0" collapsed="false">
      <c r="Q283" s="82" t="s">
        <v>279</v>
      </c>
      <c r="R283" s="82" t="s">
        <v>679</v>
      </c>
      <c r="S283" s="84" t="s">
        <v>281</v>
      </c>
      <c r="T283" s="85" t="n">
        <v>250</v>
      </c>
      <c r="U283" s="84" t="s">
        <v>282</v>
      </c>
      <c r="V283" s="85" t="n">
        <f aca="false">T283</f>
        <v>250</v>
      </c>
      <c r="W283" s="82" t="s">
        <v>283</v>
      </c>
      <c r="Y283" s="84" t="s">
        <v>297</v>
      </c>
      <c r="Z283" s="86" t="n">
        <f aca="false">Z289+Z293+Z297</f>
        <v>5.5639628445</v>
      </c>
    </row>
    <row r="284" customFormat="false" ht="15" hidden="false" customHeight="false" outlineLevel="0" collapsed="false">
      <c r="Q284" s="82" t="s">
        <v>284</v>
      </c>
      <c r="R284" s="82" t="s">
        <v>285</v>
      </c>
      <c r="V284" s="84" t="s">
        <v>123</v>
      </c>
      <c r="W284" s="84" t="s">
        <v>286</v>
      </c>
      <c r="X284" s="84" t="s">
        <v>287</v>
      </c>
      <c r="Y284" s="84" t="s">
        <v>288</v>
      </c>
      <c r="Z284" s="84" t="s">
        <v>289</v>
      </c>
    </row>
    <row r="285" customFormat="false" ht="15" hidden="false" customHeight="false" outlineLevel="0" collapsed="false">
      <c r="R285" s="87" t="s">
        <v>290</v>
      </c>
      <c r="W285" s="56"/>
    </row>
    <row r="286" customFormat="false" ht="15" hidden="false" customHeight="false" outlineLevel="0" collapsed="false">
      <c r="R286" s="1" t="s">
        <v>291</v>
      </c>
      <c r="V286" s="55" t="s">
        <v>292</v>
      </c>
      <c r="W286" s="56" t="n">
        <v>1</v>
      </c>
      <c r="X286" s="99" t="n">
        <f aca="false">W286*8/$T$229</f>
        <v>0.032</v>
      </c>
      <c r="Y286" s="28" t="n">
        <v>28.94</v>
      </c>
      <c r="Z286" s="28" t="n">
        <f aca="false">X286*Y286</f>
        <v>0.92608</v>
      </c>
    </row>
    <row r="287" customFormat="false" ht="15" hidden="false" customHeight="false" outlineLevel="0" collapsed="false">
      <c r="R287" s="1" t="s">
        <v>680</v>
      </c>
      <c r="V287" s="55" t="s">
        <v>292</v>
      </c>
      <c r="W287" s="56" t="n">
        <v>1</v>
      </c>
      <c r="X287" s="99" t="n">
        <f aca="false">W287*8/$T$229</f>
        <v>0.032</v>
      </c>
      <c r="Y287" s="28" t="n">
        <v>23.6</v>
      </c>
      <c r="Z287" s="28" t="n">
        <f aca="false">X287*Y287</f>
        <v>0.7552</v>
      </c>
    </row>
    <row r="288" customFormat="false" ht="15" hidden="false" customHeight="false" outlineLevel="0" collapsed="false">
      <c r="V288" s="55"/>
      <c r="W288" s="56"/>
      <c r="X288" s="99"/>
      <c r="Y288" s="28"/>
      <c r="Z288" s="28"/>
    </row>
    <row r="289" customFormat="false" ht="15" hidden="false" customHeight="false" outlineLevel="0" collapsed="false">
      <c r="V289" s="55"/>
      <c r="W289" s="56"/>
      <c r="Z289" s="86" t="n">
        <f aca="false">SUM(Z286:Z288)</f>
        <v>1.68128</v>
      </c>
    </row>
    <row r="290" customFormat="false" ht="15" hidden="false" customHeight="false" outlineLevel="0" collapsed="false">
      <c r="R290" s="87" t="s">
        <v>295</v>
      </c>
      <c r="V290" s="55"/>
      <c r="W290" s="56"/>
      <c r="X290" s="99"/>
    </row>
    <row r="291" customFormat="false" ht="15" hidden="false" customHeight="false" outlineLevel="0" collapsed="false">
      <c r="R291" s="1" t="s">
        <v>296</v>
      </c>
      <c r="V291" s="55" t="s">
        <v>297</v>
      </c>
      <c r="W291" s="56"/>
      <c r="X291" s="99" t="n">
        <v>0.03</v>
      </c>
      <c r="Y291" s="28" t="n">
        <v>2.64</v>
      </c>
      <c r="Z291" s="28" t="n">
        <f aca="false">X291*Y291</f>
        <v>0.0792</v>
      </c>
    </row>
    <row r="292" customFormat="false" ht="15" hidden="false" customHeight="false" outlineLevel="0" collapsed="false">
      <c r="R292" s="1" t="s">
        <v>681</v>
      </c>
      <c r="V292" s="55" t="s">
        <v>297</v>
      </c>
      <c r="W292" s="56"/>
      <c r="X292" s="99" t="n">
        <v>1.05</v>
      </c>
      <c r="Y292" s="28" t="n">
        <f aca="false">1012.71*3.379/1000</f>
        <v>3.42194709</v>
      </c>
      <c r="Z292" s="28" t="n">
        <f aca="false">X292*Y292</f>
        <v>3.5930444445</v>
      </c>
    </row>
    <row r="293" customFormat="false" ht="15" hidden="false" customHeight="false" outlineLevel="0" collapsed="false">
      <c r="V293" s="55"/>
      <c r="W293" s="56"/>
      <c r="Z293" s="86" t="n">
        <f aca="false">SUM(Z291:Z292)</f>
        <v>3.6722444445</v>
      </c>
    </row>
    <row r="294" customFormat="false" ht="15" hidden="false" customHeight="false" outlineLevel="0" collapsed="false">
      <c r="R294" s="87" t="s">
        <v>318</v>
      </c>
      <c r="V294" s="55"/>
      <c r="W294" s="56"/>
    </row>
    <row r="295" customFormat="false" ht="15" hidden="false" customHeight="false" outlineLevel="0" collapsed="false">
      <c r="R295" s="1" t="s">
        <v>311</v>
      </c>
      <c r="V295" s="55" t="s">
        <v>312</v>
      </c>
      <c r="X295" s="57" t="n">
        <v>3</v>
      </c>
      <c r="Y295" s="28" t="n">
        <f aca="false">Z289</f>
        <v>1.68128</v>
      </c>
      <c r="Z295" s="28" t="n">
        <f aca="false">X295%*Y295</f>
        <v>0.0504384</v>
      </c>
    </row>
    <row r="296" customFormat="false" ht="15" hidden="false" customHeight="false" outlineLevel="0" collapsed="false">
      <c r="R296" s="1" t="s">
        <v>682</v>
      </c>
      <c r="V296" s="55" t="s">
        <v>292</v>
      </c>
      <c r="W296" s="56" t="n">
        <v>1</v>
      </c>
      <c r="X296" s="57" t="n">
        <f aca="false">W296*8/$T$283</f>
        <v>0.032</v>
      </c>
      <c r="Y296" s="46" t="n">
        <v>5</v>
      </c>
      <c r="Z296" s="28" t="n">
        <f aca="false">X296*Y296</f>
        <v>0.16</v>
      </c>
    </row>
    <row r="297" customFormat="false" ht="15" hidden="false" customHeight="false" outlineLevel="0" collapsed="false">
      <c r="Q297" s="60"/>
      <c r="R297" s="60"/>
      <c r="S297" s="60"/>
      <c r="T297" s="60"/>
      <c r="U297" s="60"/>
      <c r="V297" s="60"/>
      <c r="W297" s="60"/>
      <c r="X297" s="60"/>
      <c r="Y297" s="60"/>
      <c r="Z297" s="89" t="n">
        <f aca="false">SUM(Z295:Z296)</f>
        <v>0.2104384</v>
      </c>
    </row>
    <row r="300" customFormat="false" ht="15" hidden="false" customHeight="false" outlineLevel="0" collapsed="false">
      <c r="Q300" s="82" t="s">
        <v>278</v>
      </c>
      <c r="R300" s="82"/>
      <c r="S300" s="82" t="s">
        <v>686</v>
      </c>
      <c r="T300" s="82"/>
    </row>
    <row r="301" customFormat="false" ht="15" hidden="false" customHeight="false" outlineLevel="0" collapsed="false">
      <c r="Q301" s="82" t="s">
        <v>279</v>
      </c>
      <c r="R301" s="82" t="s">
        <v>417</v>
      </c>
      <c r="S301" s="84" t="s">
        <v>281</v>
      </c>
      <c r="T301" s="85" t="n">
        <v>15</v>
      </c>
      <c r="U301" s="84" t="s">
        <v>282</v>
      </c>
      <c r="V301" s="85" t="n">
        <f aca="false">T301</f>
        <v>15</v>
      </c>
      <c r="W301" s="82" t="s">
        <v>283</v>
      </c>
      <c r="Y301" s="84" t="s">
        <v>204</v>
      </c>
      <c r="Z301" s="86" t="n">
        <f aca="false">Z307+Z314+Z319</f>
        <v>424.9218</v>
      </c>
    </row>
    <row r="302" customFormat="false" ht="15" hidden="false" customHeight="false" outlineLevel="0" collapsed="false">
      <c r="Q302" s="82" t="s">
        <v>284</v>
      </c>
      <c r="R302" s="82" t="s">
        <v>285</v>
      </c>
      <c r="V302" s="84" t="s">
        <v>123</v>
      </c>
      <c r="W302" s="84" t="s">
        <v>286</v>
      </c>
      <c r="X302" s="84" t="s">
        <v>287</v>
      </c>
      <c r="Y302" s="84" t="s">
        <v>288</v>
      </c>
      <c r="Z302" s="84" t="s">
        <v>289</v>
      </c>
    </row>
    <row r="303" customFormat="false" ht="15" hidden="false" customHeight="false" outlineLevel="0" collapsed="false">
      <c r="R303" s="87" t="s">
        <v>290</v>
      </c>
    </row>
    <row r="304" customFormat="false" ht="15" hidden="false" customHeight="false" outlineLevel="0" collapsed="false">
      <c r="R304" s="1" t="s">
        <v>291</v>
      </c>
      <c r="V304" s="55" t="s">
        <v>292</v>
      </c>
      <c r="W304" s="56" t="n">
        <v>1</v>
      </c>
      <c r="X304" s="57" t="n">
        <f aca="false">W304*8/$T$301</f>
        <v>0.533333333333333</v>
      </c>
      <c r="Y304" s="28" t="n">
        <v>28.94</v>
      </c>
      <c r="Z304" s="28" t="n">
        <f aca="false">X304*Y304</f>
        <v>15.4346666666667</v>
      </c>
    </row>
    <row r="305" customFormat="false" ht="15" hidden="false" customHeight="false" outlineLevel="0" collapsed="false">
      <c r="R305" s="1" t="s">
        <v>293</v>
      </c>
      <c r="V305" s="55" t="s">
        <v>292</v>
      </c>
      <c r="W305" s="56" t="n">
        <v>1</v>
      </c>
      <c r="X305" s="57" t="n">
        <f aca="false">W305*8/$T$301</f>
        <v>0.533333333333333</v>
      </c>
      <c r="Y305" s="28" t="n">
        <v>23.6</v>
      </c>
      <c r="Z305" s="28" t="n">
        <f aca="false">X305*Y305</f>
        <v>12.5866666666667</v>
      </c>
    </row>
    <row r="306" customFormat="false" ht="15" hidden="false" customHeight="false" outlineLevel="0" collapsed="false">
      <c r="R306" s="1" t="s">
        <v>294</v>
      </c>
      <c r="V306" s="55" t="s">
        <v>292</v>
      </c>
      <c r="W306" s="56" t="n">
        <v>7</v>
      </c>
      <c r="X306" s="57" t="n">
        <f aca="false">W306*8/$T$301</f>
        <v>3.73333333333333</v>
      </c>
      <c r="Y306" s="28" t="n">
        <v>21.36</v>
      </c>
      <c r="Z306" s="28" t="n">
        <f aca="false">X306*Y306</f>
        <v>79.744</v>
      </c>
    </row>
    <row r="307" customFormat="false" ht="15" hidden="false" customHeight="false" outlineLevel="0" collapsed="false">
      <c r="V307" s="55"/>
      <c r="W307" s="56"/>
      <c r="X307" s="57"/>
      <c r="Z307" s="86" t="n">
        <f aca="false">SUM(Z304:Z306)</f>
        <v>107.765333333333</v>
      </c>
    </row>
    <row r="308" customFormat="false" ht="15" hidden="false" customHeight="false" outlineLevel="0" collapsed="false">
      <c r="R308" s="87" t="s">
        <v>654</v>
      </c>
      <c r="V308" s="55"/>
      <c r="W308" s="56"/>
      <c r="X308" s="57"/>
      <c r="Z308" s="28"/>
    </row>
    <row r="309" customFormat="false" ht="15" hidden="false" customHeight="false" outlineLevel="0" collapsed="false">
      <c r="R309" s="1" t="s">
        <v>673</v>
      </c>
      <c r="V309" s="55" t="s">
        <v>204</v>
      </c>
      <c r="X309" s="57" t="n">
        <v>0.53</v>
      </c>
      <c r="Y309" s="28" t="n">
        <v>55.08</v>
      </c>
      <c r="Z309" s="28" t="n">
        <f aca="false">X309*Y309</f>
        <v>29.1924</v>
      </c>
    </row>
    <row r="310" customFormat="false" ht="15" hidden="false" customHeight="false" outlineLevel="0" collapsed="false">
      <c r="R310" s="1" t="s">
        <v>674</v>
      </c>
      <c r="V310" s="55" t="s">
        <v>204</v>
      </c>
      <c r="X310" s="57" t="n">
        <v>0.52</v>
      </c>
      <c r="Y310" s="28" t="n">
        <v>47</v>
      </c>
      <c r="Z310" s="28" t="n">
        <f aca="false">X310*Y310</f>
        <v>24.44</v>
      </c>
    </row>
    <row r="311" customFormat="false" ht="15" hidden="false" customHeight="false" outlineLevel="0" collapsed="false">
      <c r="R311" s="1" t="s">
        <v>307</v>
      </c>
      <c r="V311" s="55" t="s">
        <v>308</v>
      </c>
      <c r="X311" s="57" t="n">
        <v>9.73</v>
      </c>
      <c r="Y311" s="28" t="n">
        <v>24.52</v>
      </c>
      <c r="Z311" s="28" t="n">
        <f aca="false">X311*Y311</f>
        <v>238.5796</v>
      </c>
    </row>
    <row r="312" customFormat="false" ht="15" hidden="false" customHeight="false" outlineLevel="0" collapsed="false">
      <c r="R312" s="1" t="s">
        <v>656</v>
      </c>
      <c r="V312" s="55" t="s">
        <v>204</v>
      </c>
      <c r="X312" s="57" t="n">
        <v>0.186</v>
      </c>
      <c r="Y312" s="1" t="n">
        <v>6.14</v>
      </c>
      <c r="Z312" s="28" t="n">
        <f aca="false">X312*Y312</f>
        <v>1.14204</v>
      </c>
    </row>
    <row r="313" customFormat="false" ht="15" hidden="false" customHeight="false" outlineLevel="0" collapsed="false">
      <c r="R313" s="1" t="s">
        <v>666</v>
      </c>
      <c r="V313" s="55" t="s">
        <v>440</v>
      </c>
      <c r="X313" s="57" t="n">
        <v>0.36</v>
      </c>
      <c r="Y313" s="1" t="n">
        <v>13.93</v>
      </c>
      <c r="Z313" s="28" t="n">
        <f aca="false">X313*Y313</f>
        <v>5.0148</v>
      </c>
    </row>
    <row r="314" customFormat="false" ht="15" hidden="false" customHeight="false" outlineLevel="0" collapsed="false">
      <c r="V314" s="55"/>
      <c r="X314" s="57"/>
      <c r="Y314" s="28"/>
      <c r="Z314" s="86" t="n">
        <f aca="false">SUM(Z309:Z313)</f>
        <v>298.36884</v>
      </c>
    </row>
    <row r="315" customFormat="false" ht="15" hidden="false" customHeight="false" outlineLevel="0" collapsed="false">
      <c r="R315" s="87" t="s">
        <v>310</v>
      </c>
    </row>
    <row r="316" customFormat="false" ht="15" hidden="false" customHeight="false" outlineLevel="0" collapsed="false">
      <c r="R316" s="1" t="s">
        <v>311</v>
      </c>
      <c r="V316" s="55" t="s">
        <v>312</v>
      </c>
      <c r="X316" s="57" t="n">
        <v>3</v>
      </c>
      <c r="Y316" s="28" t="n">
        <f aca="false">Z307</f>
        <v>107.765333333333</v>
      </c>
      <c r="Z316" s="28" t="n">
        <f aca="false">X316%*Y316</f>
        <v>3.23296</v>
      </c>
    </row>
    <row r="317" customFormat="false" ht="15" hidden="false" customHeight="false" outlineLevel="0" collapsed="false">
      <c r="R317" s="1" t="s">
        <v>668</v>
      </c>
      <c r="V317" s="55" t="s">
        <v>338</v>
      </c>
      <c r="W317" s="56" t="n">
        <v>1</v>
      </c>
      <c r="X317" s="57" t="n">
        <f aca="false">W317*8/$T$301</f>
        <v>0.533333333333333</v>
      </c>
      <c r="Y317" s="28" t="n">
        <v>25.63</v>
      </c>
      <c r="Z317" s="28" t="n">
        <f aca="false">X317*Y317</f>
        <v>13.6693333333333</v>
      </c>
    </row>
    <row r="318" customFormat="false" ht="15" hidden="false" customHeight="false" outlineLevel="0" collapsed="false">
      <c r="R318" s="1" t="s">
        <v>676</v>
      </c>
      <c r="V318" s="55" t="s">
        <v>338</v>
      </c>
      <c r="W318" s="56" t="n">
        <v>0.5</v>
      </c>
      <c r="X318" s="57" t="n">
        <f aca="false">W318*8/$T$301</f>
        <v>0.266666666666667</v>
      </c>
      <c r="Y318" s="28" t="n">
        <v>7.07</v>
      </c>
      <c r="Z318" s="28" t="n">
        <f aca="false">X318*Y318</f>
        <v>1.88533333333333</v>
      </c>
    </row>
    <row r="319" customFormat="false" ht="15" hidden="false" customHeight="false" outlineLevel="0" collapsed="false">
      <c r="Q319" s="60"/>
      <c r="R319" s="60"/>
      <c r="S319" s="60"/>
      <c r="T319" s="60"/>
      <c r="U319" s="60"/>
      <c r="V319" s="60"/>
      <c r="W319" s="60"/>
      <c r="X319" s="60"/>
      <c r="Y319" s="60"/>
      <c r="Z319" s="89" t="n">
        <f aca="false">SUM(Z316:Z318)</f>
        <v>18.7876266666667</v>
      </c>
    </row>
    <row r="321" customFormat="false" ht="15" hidden="false" customHeight="false" outlineLevel="0" collapsed="false">
      <c r="Q321" s="82" t="s">
        <v>278</v>
      </c>
      <c r="R321" s="82"/>
      <c r="S321" s="82" t="s">
        <v>687</v>
      </c>
      <c r="T321" s="82"/>
    </row>
    <row r="322" customFormat="false" ht="15" hidden="false" customHeight="false" outlineLevel="0" collapsed="false">
      <c r="Q322" s="82" t="s">
        <v>279</v>
      </c>
      <c r="R322" s="82" t="s">
        <v>280</v>
      </c>
      <c r="S322" s="84" t="s">
        <v>281</v>
      </c>
      <c r="T322" s="85" t="n">
        <v>20</v>
      </c>
      <c r="U322" s="84" t="s">
        <v>282</v>
      </c>
      <c r="V322" s="85" t="n">
        <f aca="false">T322</f>
        <v>20</v>
      </c>
      <c r="W322" s="82" t="s">
        <v>283</v>
      </c>
      <c r="Y322" s="84" t="s">
        <v>134</v>
      </c>
      <c r="Z322" s="86" t="n">
        <f aca="false">Z327+Z332+Z335</f>
        <v>42.64448</v>
      </c>
    </row>
    <row r="323" customFormat="false" ht="15" hidden="false" customHeight="false" outlineLevel="0" collapsed="false">
      <c r="Q323" s="82" t="s">
        <v>284</v>
      </c>
      <c r="R323" s="82" t="s">
        <v>285</v>
      </c>
      <c r="V323" s="84" t="s">
        <v>123</v>
      </c>
      <c r="W323" s="84" t="s">
        <v>286</v>
      </c>
      <c r="X323" s="84" t="s">
        <v>287</v>
      </c>
      <c r="Y323" s="84" t="s">
        <v>288</v>
      </c>
      <c r="Z323" s="84" t="s">
        <v>289</v>
      </c>
    </row>
    <row r="324" customFormat="false" ht="15" hidden="false" customHeight="false" outlineLevel="0" collapsed="false">
      <c r="R324" s="87" t="s">
        <v>290</v>
      </c>
    </row>
    <row r="325" customFormat="false" ht="15" hidden="false" customHeight="false" outlineLevel="0" collapsed="false">
      <c r="R325" s="1" t="s">
        <v>291</v>
      </c>
      <c r="V325" s="55" t="s">
        <v>292</v>
      </c>
      <c r="W325" s="56" t="n">
        <v>1</v>
      </c>
      <c r="X325" s="57" t="n">
        <f aca="false">W325*8/$T$322</f>
        <v>0.4</v>
      </c>
      <c r="Y325" s="28" t="n">
        <v>28.94</v>
      </c>
      <c r="Z325" s="28" t="n">
        <f aca="false">X325*Y325</f>
        <v>11.576</v>
      </c>
    </row>
    <row r="326" customFormat="false" ht="15" hidden="false" customHeight="false" outlineLevel="0" collapsed="false">
      <c r="R326" s="1" t="s">
        <v>293</v>
      </c>
      <c r="V326" s="55" t="s">
        <v>292</v>
      </c>
      <c r="W326" s="56" t="n">
        <v>1</v>
      </c>
      <c r="X326" s="57" t="n">
        <f aca="false">W326*8/$T$322</f>
        <v>0.4</v>
      </c>
      <c r="Y326" s="28" t="n">
        <v>23.6</v>
      </c>
      <c r="Z326" s="28" t="n">
        <f aca="false">X326*Y326</f>
        <v>9.44</v>
      </c>
    </row>
    <row r="327" customFormat="false" ht="15" hidden="false" customHeight="false" outlineLevel="0" collapsed="false">
      <c r="V327" s="55"/>
      <c r="W327" s="56"/>
      <c r="X327" s="57"/>
      <c r="Z327" s="86" t="n">
        <f aca="false">SUM(Z325:Z326)</f>
        <v>21.016</v>
      </c>
    </row>
    <row r="328" customFormat="false" ht="15" hidden="false" customHeight="false" outlineLevel="0" collapsed="false">
      <c r="R328" s="87" t="s">
        <v>654</v>
      </c>
      <c r="V328" s="55"/>
      <c r="W328" s="56"/>
      <c r="X328" s="57"/>
      <c r="Z328" s="28"/>
    </row>
    <row r="329" customFormat="false" ht="15" hidden="false" customHeight="false" outlineLevel="0" collapsed="false">
      <c r="R329" s="1" t="s">
        <v>678</v>
      </c>
      <c r="V329" s="55" t="s">
        <v>297</v>
      </c>
      <c r="X329" s="57" t="n">
        <v>0.26</v>
      </c>
      <c r="Y329" s="28" t="n">
        <v>2.64</v>
      </c>
      <c r="Z329" s="28" t="n">
        <f aca="false">X329*Y329</f>
        <v>0.6864</v>
      </c>
    </row>
    <row r="330" customFormat="false" ht="15" hidden="false" customHeight="false" outlineLevel="0" collapsed="false">
      <c r="R330" s="1" t="s">
        <v>302</v>
      </c>
      <c r="V330" s="55" t="s">
        <v>297</v>
      </c>
      <c r="X330" s="57" t="n">
        <v>0.16</v>
      </c>
      <c r="Y330" s="28" t="n">
        <v>5.51</v>
      </c>
      <c r="Z330" s="28" t="n">
        <f aca="false">X330*Y330</f>
        <v>0.8816</v>
      </c>
    </row>
    <row r="331" customFormat="false" ht="15" hidden="false" customHeight="false" outlineLevel="0" collapsed="false">
      <c r="R331" s="1" t="s">
        <v>670</v>
      </c>
      <c r="V331" s="55" t="s">
        <v>306</v>
      </c>
      <c r="X331" s="57" t="n">
        <v>3.35</v>
      </c>
      <c r="Y331" s="28" t="n">
        <v>5.8</v>
      </c>
      <c r="Z331" s="28" t="n">
        <f aca="false">X331*Y331</f>
        <v>19.43</v>
      </c>
    </row>
    <row r="332" customFormat="false" ht="15" hidden="false" customHeight="false" outlineLevel="0" collapsed="false">
      <c r="V332" s="55"/>
      <c r="X332" s="57"/>
      <c r="Y332" s="28"/>
      <c r="Z332" s="86" t="n">
        <f aca="false">SUM(Z329:Z331)</f>
        <v>20.998</v>
      </c>
    </row>
    <row r="333" customFormat="false" ht="15" hidden="false" customHeight="false" outlineLevel="0" collapsed="false">
      <c r="R333" s="87" t="s">
        <v>310</v>
      </c>
    </row>
    <row r="334" customFormat="false" ht="15" hidden="false" customHeight="false" outlineLevel="0" collapsed="false">
      <c r="R334" s="1" t="s">
        <v>311</v>
      </c>
      <c r="V334" s="55" t="s">
        <v>312</v>
      </c>
      <c r="X334" s="57" t="n">
        <v>3</v>
      </c>
      <c r="Y334" s="28" t="n">
        <f aca="false">Z327</f>
        <v>21.016</v>
      </c>
      <c r="Z334" s="28" t="n">
        <f aca="false">X334%*Y334</f>
        <v>0.63048</v>
      </c>
    </row>
    <row r="335" customFormat="false" ht="15" hidden="false" customHeight="false" outlineLevel="0" collapsed="false">
      <c r="Q335" s="60"/>
      <c r="R335" s="60"/>
      <c r="S335" s="60"/>
      <c r="T335" s="60"/>
      <c r="U335" s="60"/>
      <c r="V335" s="60"/>
      <c r="W335" s="60"/>
      <c r="X335" s="60"/>
      <c r="Y335" s="60"/>
      <c r="Z335" s="89" t="n">
        <f aca="false">SUM(Z334)</f>
        <v>0.63048</v>
      </c>
    </row>
    <row r="337" customFormat="false" ht="15" hidden="false" customHeight="false" outlineLevel="0" collapsed="false">
      <c r="Q337" s="82" t="s">
        <v>278</v>
      </c>
      <c r="R337" s="82"/>
      <c r="S337" s="82" t="s">
        <v>688</v>
      </c>
      <c r="T337" s="82"/>
    </row>
    <row r="338" customFormat="false" ht="15" hidden="false" customHeight="false" outlineLevel="0" collapsed="false">
      <c r="Q338" s="82" t="s">
        <v>279</v>
      </c>
      <c r="R338" s="82" t="s">
        <v>679</v>
      </c>
      <c r="S338" s="84" t="s">
        <v>281</v>
      </c>
      <c r="T338" s="85" t="n">
        <v>250</v>
      </c>
      <c r="U338" s="84" t="s">
        <v>282</v>
      </c>
      <c r="V338" s="85" t="n">
        <f aca="false">T338</f>
        <v>250</v>
      </c>
      <c r="W338" s="82" t="s">
        <v>283</v>
      </c>
      <c r="Y338" s="84" t="s">
        <v>297</v>
      </c>
      <c r="Z338" s="86" t="n">
        <f aca="false">Z343+Z347+Z351</f>
        <v>5.5639628445</v>
      </c>
    </row>
    <row r="339" customFormat="false" ht="15" hidden="false" customHeight="false" outlineLevel="0" collapsed="false">
      <c r="Q339" s="82" t="s">
        <v>284</v>
      </c>
      <c r="R339" s="82" t="s">
        <v>285</v>
      </c>
      <c r="V339" s="84" t="s">
        <v>123</v>
      </c>
      <c r="W339" s="84" t="s">
        <v>286</v>
      </c>
      <c r="X339" s="84" t="s">
        <v>287</v>
      </c>
      <c r="Y339" s="84" t="s">
        <v>288</v>
      </c>
      <c r="Z339" s="84" t="s">
        <v>289</v>
      </c>
    </row>
    <row r="340" customFormat="false" ht="15" hidden="false" customHeight="false" outlineLevel="0" collapsed="false">
      <c r="R340" s="87" t="s">
        <v>290</v>
      </c>
      <c r="W340" s="56"/>
    </row>
    <row r="341" customFormat="false" ht="15" hidden="false" customHeight="false" outlineLevel="0" collapsed="false">
      <c r="R341" s="1" t="s">
        <v>291</v>
      </c>
      <c r="V341" s="55" t="s">
        <v>292</v>
      </c>
      <c r="W341" s="56" t="n">
        <v>1</v>
      </c>
      <c r="X341" s="57" t="n">
        <f aca="false">W341*8/$T$338</f>
        <v>0.032</v>
      </c>
      <c r="Y341" s="28" t="n">
        <v>28.94</v>
      </c>
      <c r="Z341" s="28" t="n">
        <f aca="false">X341*Y341</f>
        <v>0.92608</v>
      </c>
    </row>
    <row r="342" customFormat="false" ht="15" hidden="false" customHeight="false" outlineLevel="0" collapsed="false">
      <c r="R342" s="1" t="s">
        <v>680</v>
      </c>
      <c r="V342" s="55" t="s">
        <v>292</v>
      </c>
      <c r="W342" s="56" t="n">
        <v>1</v>
      </c>
      <c r="X342" s="57" t="n">
        <f aca="false">W342*8/$T$338</f>
        <v>0.032</v>
      </c>
      <c r="Y342" s="28" t="n">
        <v>23.6</v>
      </c>
      <c r="Z342" s="28" t="n">
        <f aca="false">X342*Y342</f>
        <v>0.7552</v>
      </c>
    </row>
    <row r="343" customFormat="false" ht="15" hidden="false" customHeight="false" outlineLevel="0" collapsed="false">
      <c r="V343" s="55"/>
      <c r="W343" s="56"/>
      <c r="Z343" s="86" t="n">
        <f aca="false">SUM(Z341:Z342)</f>
        <v>1.68128</v>
      </c>
    </row>
    <row r="344" customFormat="false" ht="15" hidden="false" customHeight="false" outlineLevel="0" collapsed="false">
      <c r="R344" s="87" t="s">
        <v>295</v>
      </c>
      <c r="V344" s="55"/>
      <c r="W344" s="56"/>
      <c r="X344" s="99"/>
    </row>
    <row r="345" customFormat="false" ht="15" hidden="false" customHeight="false" outlineLevel="0" collapsed="false">
      <c r="R345" s="1" t="s">
        <v>296</v>
      </c>
      <c r="V345" s="55" t="s">
        <v>297</v>
      </c>
      <c r="W345" s="56"/>
      <c r="X345" s="99" t="n">
        <v>0.03</v>
      </c>
      <c r="Y345" s="28" t="n">
        <v>2.64</v>
      </c>
      <c r="Z345" s="28" t="n">
        <f aca="false">X345*Y345</f>
        <v>0.0792</v>
      </c>
    </row>
    <row r="346" customFormat="false" ht="15" hidden="false" customHeight="false" outlineLevel="0" collapsed="false">
      <c r="R346" s="1" t="s">
        <v>681</v>
      </c>
      <c r="V346" s="55" t="s">
        <v>297</v>
      </c>
      <c r="W346" s="56"/>
      <c r="X346" s="99" t="n">
        <v>1.05</v>
      </c>
      <c r="Y346" s="28" t="n">
        <f aca="false">1012.71*3.379/1000</f>
        <v>3.42194709</v>
      </c>
      <c r="Z346" s="28" t="n">
        <f aca="false">X346*Y346</f>
        <v>3.5930444445</v>
      </c>
    </row>
    <row r="347" customFormat="false" ht="15" hidden="false" customHeight="false" outlineLevel="0" collapsed="false">
      <c r="V347" s="55"/>
      <c r="W347" s="56"/>
      <c r="Z347" s="86" t="n">
        <f aca="false">SUM(Z345:Z346)</f>
        <v>3.6722444445</v>
      </c>
    </row>
    <row r="348" customFormat="false" ht="15" hidden="false" customHeight="false" outlineLevel="0" collapsed="false">
      <c r="R348" s="87" t="s">
        <v>318</v>
      </c>
      <c r="V348" s="55"/>
      <c r="W348" s="56"/>
    </row>
    <row r="349" customFormat="false" ht="15" hidden="false" customHeight="false" outlineLevel="0" collapsed="false">
      <c r="R349" s="1" t="s">
        <v>311</v>
      </c>
      <c r="V349" s="55" t="s">
        <v>312</v>
      </c>
      <c r="X349" s="57" t="n">
        <v>3</v>
      </c>
      <c r="Y349" s="28" t="n">
        <f aca="false">Z343</f>
        <v>1.68128</v>
      </c>
      <c r="Z349" s="28" t="n">
        <f aca="false">X349%*Y349</f>
        <v>0.0504384</v>
      </c>
    </row>
    <row r="350" customFormat="false" ht="15" hidden="false" customHeight="false" outlineLevel="0" collapsed="false">
      <c r="R350" s="1" t="s">
        <v>682</v>
      </c>
      <c r="V350" s="55" t="s">
        <v>292</v>
      </c>
      <c r="W350" s="56" t="n">
        <v>1</v>
      </c>
      <c r="X350" s="57" t="n">
        <f aca="false">W350*8/$T$338</f>
        <v>0.032</v>
      </c>
      <c r="Y350" s="46" t="n">
        <v>5</v>
      </c>
      <c r="Z350" s="28" t="n">
        <f aca="false">X350*Y350</f>
        <v>0.16</v>
      </c>
    </row>
    <row r="351" customFormat="false" ht="15" hidden="false" customHeight="false" outlineLevel="0" collapsed="false">
      <c r="Q351" s="60"/>
      <c r="R351" s="60"/>
      <c r="S351" s="60"/>
      <c r="T351" s="60"/>
      <c r="U351" s="60"/>
      <c r="V351" s="60"/>
      <c r="W351" s="60"/>
      <c r="X351" s="60"/>
      <c r="Y351" s="60"/>
      <c r="Z351" s="89" t="n">
        <f aca="false">SUM(Z349:Z350)</f>
        <v>0.2104384</v>
      </c>
    </row>
    <row r="352" customFormat="false" ht="15" hidden="false" customHeight="false" outlineLevel="0" collapsed="false">
      <c r="Z352" s="86"/>
    </row>
    <row r="354" customFormat="false" ht="15" hidden="false" customHeight="false" outlineLevel="0" collapsed="false">
      <c r="Q354" s="82"/>
      <c r="R354" s="82"/>
      <c r="S354" s="82"/>
      <c r="T354" s="82"/>
    </row>
    <row r="355" customFormat="false" ht="15" hidden="false" customHeight="false" outlineLevel="0" collapsed="false">
      <c r="Q355" s="82"/>
      <c r="R355" s="82"/>
      <c r="S355" s="84"/>
      <c r="T355" s="85"/>
      <c r="U355" s="84"/>
      <c r="V355" s="85"/>
      <c r="W355" s="82"/>
      <c r="Y355" s="84"/>
      <c r="Z355" s="8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2:AL355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H29" activeCellId="0" sqref="H29"/>
    </sheetView>
  </sheetViews>
  <sheetFormatPr defaultColWidth="8.59765625" defaultRowHeight="15" zeroHeight="false" outlineLevelRow="0" outlineLevelCol="0"/>
  <cols>
    <col collapsed="false" customWidth="true" hidden="false" outlineLevel="0" max="10" min="10" style="1" width="13.14"/>
    <col collapsed="false" customWidth="true" hidden="false" outlineLevel="0" max="12" min="12" style="1" width="9.3"/>
    <col collapsed="false" customWidth="true" hidden="false" outlineLevel="0" max="20" min="20" style="1" width="9.3"/>
  </cols>
  <sheetData>
    <row r="2" customFormat="false" ht="15" hidden="false" customHeight="false" outlineLevel="0" collapsed="false">
      <c r="M2" s="157" t="s">
        <v>1378</v>
      </c>
      <c r="N2" s="157" t="n">
        <f aca="false">'Datos iniciales '!B7</f>
        <v>1153.17</v>
      </c>
    </row>
    <row r="3" customFormat="false" ht="15" hidden="false" customHeight="false" outlineLevel="0" collapsed="false">
      <c r="E3" s="36" t="s">
        <v>1220</v>
      </c>
      <c r="F3" s="36" t="s">
        <v>1221</v>
      </c>
      <c r="G3" s="36" t="s">
        <v>123</v>
      </c>
      <c r="H3" s="36" t="s">
        <v>124</v>
      </c>
      <c r="I3" s="36" t="s">
        <v>125</v>
      </c>
      <c r="J3" s="36" t="s">
        <v>454</v>
      </c>
      <c r="K3" s="36" t="s">
        <v>455</v>
      </c>
      <c r="M3" s="157"/>
      <c r="N3" s="157"/>
    </row>
    <row r="4" customFormat="false" ht="15" hidden="false" customHeight="false" outlineLevel="0" collapsed="false">
      <c r="G4" s="158"/>
      <c r="H4" s="71"/>
      <c r="I4" s="28"/>
      <c r="K4" s="1" t="n">
        <f aca="false">SUM(J4:J37)</f>
        <v>1242426.10915659</v>
      </c>
      <c r="M4" s="157" t="s">
        <v>1369</v>
      </c>
      <c r="N4" s="157" t="n">
        <f aca="false">K4/N2</f>
        <v>1077.40065138409</v>
      </c>
    </row>
    <row r="6" customFormat="false" ht="15" hidden="false" customHeight="false" outlineLevel="0" collapsed="false">
      <c r="A6" s="26"/>
      <c r="B6" s="14"/>
      <c r="G6" s="14"/>
      <c r="Q6" s="14" t="s">
        <v>278</v>
      </c>
      <c r="R6" s="14"/>
      <c r="S6" s="14" t="s">
        <v>1372</v>
      </c>
      <c r="T6" s="14"/>
    </row>
    <row r="7" customFormat="false" ht="15" hidden="false" customHeight="false" outlineLevel="0" collapsed="false">
      <c r="E7" s="218"/>
      <c r="F7" s="28"/>
      <c r="I7" s="28"/>
      <c r="J7" s="28"/>
      <c r="Q7" s="14" t="s">
        <v>279</v>
      </c>
      <c r="R7" s="14" t="s">
        <v>280</v>
      </c>
      <c r="S7" s="36" t="s">
        <v>281</v>
      </c>
      <c r="T7" s="52" t="n">
        <v>500</v>
      </c>
      <c r="U7" s="36" t="s">
        <v>282</v>
      </c>
      <c r="V7" s="52" t="n">
        <f aca="false">T7</f>
        <v>500</v>
      </c>
      <c r="W7" s="14" t="s">
        <v>283</v>
      </c>
      <c r="Y7" s="36" t="s">
        <v>134</v>
      </c>
      <c r="Z7" s="53" t="n">
        <f aca="false">Z13+Z18+Z23</f>
        <v>2.89927064</v>
      </c>
    </row>
    <row r="8" customFormat="false" ht="15" hidden="false" customHeight="false" outlineLevel="0" collapsed="false">
      <c r="A8" s="26" t="s">
        <v>457</v>
      </c>
      <c r="B8" s="14"/>
      <c r="E8" s="218"/>
      <c r="F8" s="28"/>
      <c r="J8" s="28"/>
      <c r="Q8" s="14" t="s">
        <v>284</v>
      </c>
      <c r="R8" s="14" t="s">
        <v>285</v>
      </c>
      <c r="V8" s="36" t="s">
        <v>123</v>
      </c>
      <c r="W8" s="36" t="s">
        <v>286</v>
      </c>
      <c r="X8" s="36" t="s">
        <v>287</v>
      </c>
      <c r="Y8" s="36" t="s">
        <v>288</v>
      </c>
      <c r="Z8" s="36" t="s">
        <v>289</v>
      </c>
    </row>
    <row r="9" customFormat="false" ht="15" hidden="false" customHeight="false" outlineLevel="0" collapsed="false">
      <c r="A9" s="69" t="s">
        <v>459</v>
      </c>
      <c r="E9" s="220" t="n">
        <v>1</v>
      </c>
      <c r="F9" s="28" t="n">
        <v>4.36975929978118</v>
      </c>
      <c r="G9" s="1" t="s">
        <v>204</v>
      </c>
      <c r="H9" s="1" t="n">
        <f aca="false">E9*F9*$N$2</f>
        <v>5039.07533172867</v>
      </c>
      <c r="I9" s="28" t="n">
        <f aca="false">Z26</f>
        <v>8.45820448</v>
      </c>
      <c r="J9" s="28" t="n">
        <f aca="false">H9*I9</f>
        <v>42621.5295458849</v>
      </c>
      <c r="M9" s="28"/>
      <c r="R9" s="54" t="s">
        <v>290</v>
      </c>
    </row>
    <row r="10" customFormat="false" ht="15" hidden="false" customHeight="false" outlineLevel="0" collapsed="false">
      <c r="A10" s="69" t="s">
        <v>461</v>
      </c>
      <c r="E10" s="220" t="n">
        <v>1</v>
      </c>
      <c r="F10" s="28" t="n">
        <v>0.0588183807439825</v>
      </c>
      <c r="G10" s="1" t="s">
        <v>204</v>
      </c>
      <c r="H10" s="1" t="n">
        <f aca="false">E10*F10*$N$2</f>
        <v>67.8275921225383</v>
      </c>
      <c r="I10" s="28" t="n">
        <f aca="false">Z42</f>
        <v>49.40498</v>
      </c>
      <c r="J10" s="28" t="n">
        <f aca="false">H10*I10</f>
        <v>3351.02083226216</v>
      </c>
      <c r="R10" s="1" t="s">
        <v>1374</v>
      </c>
      <c r="V10" s="55" t="s">
        <v>292</v>
      </c>
      <c r="W10" s="56" t="n">
        <v>1</v>
      </c>
      <c r="X10" s="57" t="n">
        <f aca="false">W10*8/$V$7</f>
        <v>0.016</v>
      </c>
      <c r="Y10" s="1" t="n">
        <v>28.94</v>
      </c>
      <c r="Z10" s="28" t="n">
        <f aca="false">X10*Y10</f>
        <v>0.46304</v>
      </c>
    </row>
    <row r="11" customFormat="false" ht="15" hidden="false" customHeight="false" outlineLevel="0" collapsed="false">
      <c r="A11" s="69" t="s">
        <v>463</v>
      </c>
      <c r="E11" s="220" t="n">
        <v>1</v>
      </c>
      <c r="F11" s="28" t="n">
        <v>0.269540481400438</v>
      </c>
      <c r="G11" s="1" t="s">
        <v>204</v>
      </c>
      <c r="H11" s="1" t="n">
        <f aca="false">E11*F11*$N$2</f>
        <v>310.825996936543</v>
      </c>
      <c r="I11" s="28" t="n">
        <f aca="false">Z53</f>
        <v>66.2342173333333</v>
      </c>
      <c r="J11" s="28" t="n">
        <f aca="false">H11*I11</f>
        <v>20587.316633945</v>
      </c>
      <c r="R11" s="1" t="s">
        <v>294</v>
      </c>
      <c r="V11" s="55" t="s">
        <v>292</v>
      </c>
      <c r="W11" s="56" t="n">
        <v>3</v>
      </c>
      <c r="X11" s="57" t="n">
        <f aca="false">W11*8/$V$7</f>
        <v>0.048</v>
      </c>
      <c r="Y11" s="1" t="n">
        <v>20.51</v>
      </c>
      <c r="Z11" s="28" t="n">
        <f aca="false">X11*Y11</f>
        <v>0.98448</v>
      </c>
    </row>
    <row r="12" customFormat="false" ht="15" hidden="false" customHeight="false" outlineLevel="0" collapsed="false">
      <c r="A12" s="69" t="s">
        <v>465</v>
      </c>
      <c r="E12" s="220" t="n">
        <v>1</v>
      </c>
      <c r="F12" s="28" t="n">
        <v>2.57973012399708</v>
      </c>
      <c r="G12" s="1" t="s">
        <v>204</v>
      </c>
      <c r="H12" s="1" t="n">
        <f aca="false">E12*F12*$N$2</f>
        <v>2974.86738708972</v>
      </c>
      <c r="I12" s="28" t="n">
        <f aca="false">Z70</f>
        <v>19.29963</v>
      </c>
      <c r="J12" s="28" t="n">
        <f aca="false">H12*I12</f>
        <v>57413.8398698983</v>
      </c>
      <c r="K12" s="158"/>
      <c r="R12" s="1" t="s">
        <v>651</v>
      </c>
      <c r="V12" s="55" t="s">
        <v>292</v>
      </c>
      <c r="W12" s="56" t="n">
        <v>0.1</v>
      </c>
      <c r="X12" s="57" t="n">
        <f aca="false">W12*8/$V$7</f>
        <v>0.0016</v>
      </c>
      <c r="Y12" s="1" t="n">
        <v>34.73</v>
      </c>
      <c r="Z12" s="28" t="n">
        <f aca="false">X12*Y12</f>
        <v>0.055568</v>
      </c>
    </row>
    <row r="13" customFormat="false" ht="15" hidden="false" customHeight="false" outlineLevel="0" collapsed="false">
      <c r="A13" s="69" t="s">
        <v>1379</v>
      </c>
      <c r="E13" s="220" t="n">
        <v>1</v>
      </c>
      <c r="F13" s="28" t="n">
        <v>2.05368344274252</v>
      </c>
      <c r="G13" s="1" t="s">
        <v>134</v>
      </c>
      <c r="H13" s="1" t="n">
        <f aca="false">E13*F13*$N$2</f>
        <v>2368.2461356674</v>
      </c>
      <c r="I13" s="28" t="n">
        <f aca="false">Z87</f>
        <v>7.930344</v>
      </c>
      <c r="J13" s="28" t="n">
        <f aca="false">H13*I13</f>
        <v>18781.0065325131</v>
      </c>
      <c r="Z13" s="53" t="n">
        <f aca="false">SUM(Z10:Z12)</f>
        <v>1.503088</v>
      </c>
    </row>
    <row r="14" customFormat="false" ht="15" hidden="false" customHeight="false" outlineLevel="0" collapsed="false">
      <c r="A14" s="69" t="s">
        <v>469</v>
      </c>
      <c r="E14" s="220" t="n">
        <v>1</v>
      </c>
      <c r="F14" s="28" t="n">
        <v>2.3110594456601</v>
      </c>
      <c r="G14" s="1" t="s">
        <v>134</v>
      </c>
      <c r="H14" s="1" t="n">
        <f aca="false">E14*F14*$N$2</f>
        <v>2665.04442095186</v>
      </c>
      <c r="I14" s="28" t="n">
        <f aca="false">Z102</f>
        <v>12.11253</v>
      </c>
      <c r="J14" s="28" t="n">
        <f aca="false">H14*I14</f>
        <v>32280.430500112</v>
      </c>
      <c r="K14" s="221"/>
      <c r="R14" s="54" t="s">
        <v>654</v>
      </c>
    </row>
    <row r="15" customFormat="false" ht="15" hidden="false" customHeight="false" outlineLevel="0" collapsed="false">
      <c r="A15" s="69" t="s">
        <v>471</v>
      </c>
      <c r="E15" s="220" t="n">
        <v>1</v>
      </c>
      <c r="F15" s="28" t="n">
        <v>2.3110594456601</v>
      </c>
      <c r="G15" s="1" t="s">
        <v>204</v>
      </c>
      <c r="H15" s="1" t="n">
        <f aca="false">E15*F15*$N$2</f>
        <v>2665.04442095186</v>
      </c>
      <c r="I15" s="28" t="n">
        <f aca="false">Z113</f>
        <v>22.9100074666667</v>
      </c>
      <c r="J15" s="28" t="n">
        <f aca="false">H15*I15</f>
        <v>61056.1875830055</v>
      </c>
      <c r="R15" s="1" t="s">
        <v>302</v>
      </c>
      <c r="V15" s="55" t="s">
        <v>297</v>
      </c>
      <c r="X15" s="57" t="n">
        <v>0.005</v>
      </c>
      <c r="Y15" s="1" t="n">
        <v>5.51</v>
      </c>
      <c r="Z15" s="28" t="n">
        <f aca="false">X15*Y15</f>
        <v>0.02755</v>
      </c>
    </row>
    <row r="16" customFormat="false" ht="15" hidden="false" customHeight="false" outlineLevel="0" collapsed="false">
      <c r="A16" s="26" t="s">
        <v>476</v>
      </c>
      <c r="E16" s="218"/>
      <c r="F16" s="28"/>
      <c r="R16" s="1" t="s">
        <v>1375</v>
      </c>
      <c r="S16" s="222"/>
      <c r="T16" s="222"/>
      <c r="U16" s="222"/>
      <c r="V16" s="55" t="s">
        <v>308</v>
      </c>
      <c r="W16" s="222"/>
      <c r="X16" s="57" t="n">
        <v>0.025</v>
      </c>
      <c r="Y16" s="28" t="n">
        <v>38.9</v>
      </c>
      <c r="Z16" s="28" t="n">
        <f aca="false">X16*Y16</f>
        <v>0.9725</v>
      </c>
    </row>
    <row r="17" customFormat="false" ht="15" hidden="false" customHeight="false" outlineLevel="0" collapsed="false">
      <c r="A17" s="1" t="s">
        <v>484</v>
      </c>
      <c r="E17" s="218" t="n">
        <v>0.96</v>
      </c>
      <c r="F17" s="28" t="n">
        <v>1</v>
      </c>
      <c r="H17" s="1" t="n">
        <f aca="false">E17*F17*$N$2</f>
        <v>1107.0432</v>
      </c>
      <c r="I17" s="28" t="n">
        <f aca="false">Z126</f>
        <v>238.3435744</v>
      </c>
      <c r="J17" s="28" t="n">
        <f aca="false">H17*I17</f>
        <v>263856.633303214</v>
      </c>
      <c r="R17" s="1" t="s">
        <v>309</v>
      </c>
      <c r="V17" s="55" t="s">
        <v>306</v>
      </c>
      <c r="X17" s="57" t="n">
        <v>0.02</v>
      </c>
      <c r="Y17" s="28" t="n">
        <v>5.8</v>
      </c>
      <c r="Z17" s="28" t="n">
        <f aca="false">X17*Y17</f>
        <v>0.116</v>
      </c>
    </row>
    <row r="18" customFormat="false" ht="15" hidden="false" customHeight="false" outlineLevel="0" collapsed="false">
      <c r="A18" s="15" t="s">
        <v>486</v>
      </c>
      <c r="E18" s="218"/>
      <c r="F18" s="28"/>
      <c r="Z18" s="53" t="n">
        <f aca="false">SUM(Z15:Z17)</f>
        <v>1.11605</v>
      </c>
    </row>
    <row r="19" customFormat="false" ht="16.4" hidden="false" customHeight="false" outlineLevel="0" collapsed="false">
      <c r="A19" s="69" t="s">
        <v>488</v>
      </c>
      <c r="B19" s="69"/>
      <c r="C19" s="69"/>
      <c r="D19" s="69"/>
      <c r="E19" s="218" t="n">
        <v>0.99</v>
      </c>
      <c r="F19" s="28" t="n">
        <v>0.884609773887673</v>
      </c>
      <c r="G19" s="1" t="s">
        <v>134</v>
      </c>
      <c r="H19" s="1" t="n">
        <f aca="false">E19*F19*$N$2</f>
        <v>1009.90439842451</v>
      </c>
      <c r="I19" s="223" t="n">
        <f aca="false">Z152</f>
        <v>39.6208818181818</v>
      </c>
      <c r="J19" s="224" t="n">
        <f aca="false">H19*I19</f>
        <v>40013.3028176394</v>
      </c>
      <c r="R19" s="54" t="s">
        <v>310</v>
      </c>
    </row>
    <row r="20" customFormat="false" ht="15" hidden="false" customHeight="false" outlineLevel="0" collapsed="false">
      <c r="A20" s="15" t="s">
        <v>490</v>
      </c>
      <c r="E20" s="218"/>
      <c r="F20" s="28"/>
      <c r="I20" s="158"/>
      <c r="J20" s="28"/>
      <c r="K20" s="158"/>
      <c r="R20" s="1" t="s">
        <v>311</v>
      </c>
      <c r="V20" s="55" t="s">
        <v>312</v>
      </c>
      <c r="X20" s="57" t="n">
        <v>3</v>
      </c>
      <c r="Y20" s="28" t="n">
        <f aca="false">Z13</f>
        <v>1.503088</v>
      </c>
      <c r="Z20" s="28" t="n">
        <f aca="false">X20%*Y20</f>
        <v>0.04509264</v>
      </c>
    </row>
    <row r="21" customFormat="false" ht="16.4" hidden="false" customHeight="false" outlineLevel="0" collapsed="false">
      <c r="A21" s="1" t="s">
        <v>492</v>
      </c>
      <c r="E21" s="218" t="n">
        <v>0.98</v>
      </c>
      <c r="F21" s="28" t="n">
        <v>0.0510576221735959</v>
      </c>
      <c r="G21" s="1" t="s">
        <v>134</v>
      </c>
      <c r="H21" s="1" t="n">
        <f aca="false">E21*F21*$N$2</f>
        <v>57.7005557986871</v>
      </c>
      <c r="I21" s="208" t="n">
        <f aca="false">Z171</f>
        <v>27.126394</v>
      </c>
      <c r="J21" s="28" t="n">
        <f aca="false">H21*I21</f>
        <v>1565.20801061417</v>
      </c>
      <c r="K21" s="221"/>
      <c r="R21" s="1" t="s">
        <v>1376</v>
      </c>
      <c r="V21" s="55" t="s">
        <v>338</v>
      </c>
      <c r="W21" s="56" t="n">
        <v>1</v>
      </c>
      <c r="X21" s="57" t="n">
        <f aca="false">W21*8/$V$7</f>
        <v>0.016</v>
      </c>
      <c r="Y21" s="28" t="n">
        <v>9.69</v>
      </c>
      <c r="Z21" s="28" t="n">
        <f aca="false">X21*Y21</f>
        <v>0.15504</v>
      </c>
    </row>
    <row r="22" customFormat="false" ht="15" hidden="false" customHeight="false" outlineLevel="0" collapsed="false">
      <c r="A22" s="15" t="s">
        <v>1373</v>
      </c>
      <c r="E22" s="218"/>
      <c r="F22" s="28"/>
      <c r="I22" s="158"/>
      <c r="J22" s="28"/>
      <c r="K22" s="221"/>
      <c r="R22" s="1" t="s">
        <v>1377</v>
      </c>
      <c r="V22" s="55" t="s">
        <v>145</v>
      </c>
      <c r="X22" s="1" t="n">
        <v>0.008</v>
      </c>
      <c r="Y22" s="57" t="n">
        <v>10</v>
      </c>
      <c r="Z22" s="28" t="n">
        <f aca="false">X22*Y22</f>
        <v>0.08</v>
      </c>
    </row>
    <row r="23" customFormat="false" ht="15" hidden="false" customHeight="false" outlineLevel="0" collapsed="false">
      <c r="A23" s="15" t="s">
        <v>495</v>
      </c>
      <c r="E23" s="218"/>
      <c r="F23" s="28"/>
      <c r="I23" s="158"/>
      <c r="J23" s="28"/>
      <c r="Q23" s="60"/>
      <c r="R23" s="60"/>
      <c r="S23" s="60"/>
      <c r="T23" s="60"/>
      <c r="U23" s="60"/>
      <c r="V23" s="60"/>
      <c r="W23" s="60"/>
      <c r="X23" s="60"/>
      <c r="Y23" s="80"/>
      <c r="Z23" s="61" t="n">
        <f aca="false">SUM(Z20:Z22)</f>
        <v>0.28013264</v>
      </c>
    </row>
    <row r="24" customFormat="false" ht="16.4" hidden="false" customHeight="false" outlineLevel="0" collapsed="false">
      <c r="A24" s="1" t="s">
        <v>497</v>
      </c>
      <c r="E24" s="218" t="n">
        <v>0.97</v>
      </c>
      <c r="F24" s="28" t="n">
        <v>0.632312180889861</v>
      </c>
      <c r="G24" s="1" t="s">
        <v>204</v>
      </c>
      <c r="H24" s="1" t="n">
        <f aca="false">E24*F24*$N$2</f>
        <v>707.288534507659</v>
      </c>
      <c r="I24" s="208" t="n">
        <f aca="false">Z190</f>
        <v>426.397544</v>
      </c>
      <c r="J24" s="28" t="n">
        <f aca="false">H24*I24</f>
        <v>301586.094013425</v>
      </c>
    </row>
    <row r="25" customFormat="false" ht="16.4" hidden="false" customHeight="false" outlineLevel="0" collapsed="false">
      <c r="A25" s="1" t="s">
        <v>499</v>
      </c>
      <c r="E25" s="218" t="n">
        <v>0.91</v>
      </c>
      <c r="F25" s="28"/>
      <c r="G25" s="158" t="s">
        <v>297</v>
      </c>
      <c r="H25" s="1" t="n">
        <f aca="false">H24*40*E25</f>
        <v>25745.3026560788</v>
      </c>
      <c r="I25" s="208" t="n">
        <f aca="false">Z229</f>
        <v>5.5639628445</v>
      </c>
      <c r="J25" s="28" t="n">
        <f aca="false">H25*I25</f>
        <v>143245.90739883</v>
      </c>
      <c r="Q25" s="14" t="s">
        <v>278</v>
      </c>
      <c r="R25" s="14"/>
      <c r="S25" s="14" t="s">
        <v>459</v>
      </c>
      <c r="T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customFormat="false" ht="15" hidden="false" customHeight="false" outlineLevel="0" collapsed="false">
      <c r="A26" s="226" t="s">
        <v>509</v>
      </c>
      <c r="E26" s="218"/>
      <c r="F26" s="28"/>
      <c r="G26" s="158"/>
      <c r="I26" s="158"/>
      <c r="J26" s="28"/>
      <c r="K26" s="158"/>
      <c r="Q26" s="14" t="s">
        <v>279</v>
      </c>
      <c r="R26" s="14" t="s">
        <v>417</v>
      </c>
      <c r="S26" s="36" t="s">
        <v>281</v>
      </c>
      <c r="T26" s="52" t="n">
        <v>250</v>
      </c>
      <c r="U26" s="36" t="s">
        <v>282</v>
      </c>
      <c r="V26" s="52" t="n">
        <f aca="false">T26</f>
        <v>250</v>
      </c>
      <c r="W26" s="14" t="s">
        <v>283</v>
      </c>
      <c r="Y26" s="36" t="s">
        <v>204</v>
      </c>
      <c r="Z26" s="53" t="n">
        <f aca="false">Z32+Z36</f>
        <v>8.45820448</v>
      </c>
      <c r="AC26" s="14"/>
      <c r="AD26" s="14"/>
      <c r="AE26" s="36"/>
      <c r="AF26" s="52"/>
      <c r="AG26" s="36"/>
      <c r="AH26" s="52"/>
      <c r="AI26" s="14"/>
      <c r="AK26" s="36"/>
      <c r="AL26" s="53"/>
    </row>
    <row r="27" customFormat="false" ht="16.4" hidden="false" customHeight="false" outlineLevel="0" collapsed="false">
      <c r="A27" s="1" t="s">
        <v>511</v>
      </c>
      <c r="E27" s="218" t="n">
        <v>0.98</v>
      </c>
      <c r="F27" s="28" t="n">
        <v>0.120204230488694</v>
      </c>
      <c r="G27" s="158" t="s">
        <v>204</v>
      </c>
      <c r="H27" s="1" t="n">
        <f aca="false">E27*F27*$N$2</f>
        <v>135.843594223195</v>
      </c>
      <c r="I27" s="208" t="n">
        <f aca="false">Z245</f>
        <v>438.22652</v>
      </c>
      <c r="J27" s="28" t="n">
        <f aca="false">H27*I27</f>
        <v>59530.2655607227</v>
      </c>
      <c r="Q27" s="14" t="s">
        <v>284</v>
      </c>
      <c r="R27" s="14" t="s">
        <v>285</v>
      </c>
      <c r="V27" s="36" t="s">
        <v>123</v>
      </c>
      <c r="W27" s="36" t="s">
        <v>286</v>
      </c>
      <c r="X27" s="36" t="s">
        <v>287</v>
      </c>
      <c r="Y27" s="36" t="s">
        <v>288</v>
      </c>
      <c r="Z27" s="36" t="s">
        <v>289</v>
      </c>
      <c r="AC27" s="14"/>
      <c r="AD27" s="14"/>
      <c r="AH27" s="36"/>
      <c r="AI27" s="36"/>
      <c r="AJ27" s="36"/>
      <c r="AK27" s="36"/>
      <c r="AL27" s="36"/>
    </row>
    <row r="28" customFormat="false" ht="16.4" hidden="false" customHeight="false" outlineLevel="0" collapsed="false">
      <c r="A28" s="1" t="s">
        <v>513</v>
      </c>
      <c r="E28" s="218" t="n">
        <v>0.99</v>
      </c>
      <c r="F28" s="28" t="n">
        <v>0.6490882567469</v>
      </c>
      <c r="G28" s="158" t="s">
        <v>134</v>
      </c>
      <c r="H28" s="1" t="n">
        <f aca="false">E28*F28*$N$2</f>
        <v>741.024013982495</v>
      </c>
      <c r="I28" s="208" t="n">
        <f aca="false">Z267</f>
        <v>64.02696</v>
      </c>
      <c r="J28" s="28" t="n">
        <f aca="false">H28*I28</f>
        <v>47445.5149022966</v>
      </c>
      <c r="R28" s="54" t="s">
        <v>290</v>
      </c>
      <c r="AD28" s="54"/>
    </row>
    <row r="29" customFormat="false" ht="16.4" hidden="false" customHeight="false" outlineLevel="0" collapsed="false">
      <c r="A29" s="1" t="s">
        <v>515</v>
      </c>
      <c r="E29" s="218" t="n">
        <v>0.93</v>
      </c>
      <c r="F29" s="28"/>
      <c r="G29" s="158" t="s">
        <v>297</v>
      </c>
      <c r="H29" s="1" t="n">
        <f aca="false">H27*50*E29</f>
        <v>6316.72713137856</v>
      </c>
      <c r="I29" s="208" t="n">
        <f aca="false">Z283</f>
        <v>5.5639628445</v>
      </c>
      <c r="J29" s="28" t="n">
        <f aca="false">H29*I29</f>
        <v>35146.0350578354</v>
      </c>
      <c r="R29" s="1" t="s">
        <v>651</v>
      </c>
      <c r="V29" s="55" t="s">
        <v>292</v>
      </c>
      <c r="W29" s="56" t="n">
        <v>0.1</v>
      </c>
      <c r="X29" s="57" t="n">
        <f aca="false">W29*8/$V$26</f>
        <v>0.0032</v>
      </c>
      <c r="Y29" s="1" t="n">
        <v>34.73</v>
      </c>
      <c r="Z29" s="28" t="n">
        <f aca="false">X29*Y29</f>
        <v>0.111136</v>
      </c>
      <c r="AH29" s="55"/>
      <c r="AI29" s="56"/>
      <c r="AJ29" s="57"/>
      <c r="AL29" s="28"/>
    </row>
    <row r="30" customFormat="false" ht="15" hidden="false" customHeight="false" outlineLevel="0" collapsed="false">
      <c r="A30" s="26" t="s">
        <v>517</v>
      </c>
      <c r="B30" s="14"/>
      <c r="E30" s="218"/>
      <c r="F30" s="28"/>
      <c r="I30" s="158"/>
      <c r="J30" s="28"/>
      <c r="R30" s="1" t="s">
        <v>291</v>
      </c>
      <c r="V30" s="55" t="s">
        <v>292</v>
      </c>
      <c r="W30" s="56" t="n">
        <v>2</v>
      </c>
      <c r="X30" s="57" t="n">
        <f aca="false">W30*8/$V$26</f>
        <v>0.064</v>
      </c>
      <c r="Y30" s="28" t="n">
        <v>28.94</v>
      </c>
      <c r="Z30" s="28" t="n">
        <f aca="false">X30*Y30</f>
        <v>1.85216</v>
      </c>
      <c r="AH30" s="55"/>
      <c r="AI30" s="56"/>
      <c r="AJ30" s="57"/>
      <c r="AL30" s="28"/>
    </row>
    <row r="31" customFormat="false" ht="15" hidden="false" customHeight="false" outlineLevel="0" collapsed="false">
      <c r="A31" s="1" t="s">
        <v>519</v>
      </c>
      <c r="E31" s="218" t="n">
        <v>0.96</v>
      </c>
      <c r="F31" s="28" t="n">
        <v>0.0833698030634573</v>
      </c>
      <c r="G31" s="1" t="s">
        <v>204</v>
      </c>
      <c r="H31" s="1" t="n">
        <f aca="false">E31*F31*$N$2</f>
        <v>92.2939735667396</v>
      </c>
      <c r="I31" s="28" t="n">
        <f aca="false">Z301</f>
        <v>424.9218</v>
      </c>
      <c r="J31" s="28" t="n">
        <f aca="false">H31*I31</f>
        <v>39217.7213771314</v>
      </c>
      <c r="R31" s="1" t="s">
        <v>294</v>
      </c>
      <c r="V31" s="55" t="s">
        <v>292</v>
      </c>
      <c r="W31" s="56" t="n">
        <v>1</v>
      </c>
      <c r="X31" s="57" t="n">
        <f aca="false">W31*8/$V$26</f>
        <v>0.032</v>
      </c>
      <c r="Y31" s="1" t="n">
        <v>20.51</v>
      </c>
      <c r="Z31" s="28" t="n">
        <f aca="false">X31*Y31</f>
        <v>0.65632</v>
      </c>
      <c r="AL31" s="53"/>
    </row>
    <row r="32" customFormat="false" ht="15" hidden="false" customHeight="false" outlineLevel="0" collapsed="false">
      <c r="A32" s="1" t="s">
        <v>521</v>
      </c>
      <c r="E32" s="218" t="n">
        <v>0.97</v>
      </c>
      <c r="F32" s="28" t="n">
        <v>0.416849015317287</v>
      </c>
      <c r="G32" s="1" t="s">
        <v>134</v>
      </c>
      <c r="H32" s="1" t="n">
        <f aca="false">E32*F32*$N$2</f>
        <v>466.276845623632</v>
      </c>
      <c r="I32" s="28" t="n">
        <f aca="false">Z322</f>
        <v>42.64448</v>
      </c>
      <c r="J32" s="28" t="n">
        <f aca="false">H32*I32</f>
        <v>19884.1336176601</v>
      </c>
      <c r="Z32" s="53" t="n">
        <f aca="false">SUM(Z29:Z31)</f>
        <v>2.619616</v>
      </c>
      <c r="AD32" s="54"/>
    </row>
    <row r="33" customFormat="false" ht="15" hidden="false" customHeight="false" outlineLevel="0" collapsed="false">
      <c r="A33" s="1" t="s">
        <v>523</v>
      </c>
      <c r="E33" s="218" t="n">
        <v>0.89</v>
      </c>
      <c r="F33" s="28"/>
      <c r="G33" s="1" t="s">
        <v>297</v>
      </c>
      <c r="H33" s="1" t="n">
        <f aca="false">H31*120*E33</f>
        <v>9856.99637692779</v>
      </c>
      <c r="I33" s="28" t="n">
        <f aca="false">Z338</f>
        <v>5.5639628445</v>
      </c>
      <c r="J33" s="28" t="n">
        <f aca="false">H33*I33</f>
        <v>54843.9615995973</v>
      </c>
      <c r="R33" s="54" t="s">
        <v>310</v>
      </c>
      <c r="AH33" s="55"/>
      <c r="AJ33" s="57"/>
      <c r="AK33" s="28"/>
      <c r="AL33" s="28"/>
    </row>
    <row r="34" customFormat="false" ht="15" hidden="false" customHeight="false" outlineLevel="0" collapsed="false">
      <c r="R34" s="1" t="s">
        <v>311</v>
      </c>
      <c r="V34" s="55" t="s">
        <v>312</v>
      </c>
      <c r="X34" s="57" t="n">
        <v>3</v>
      </c>
      <c r="Y34" s="28" t="n">
        <f aca="false">Z32</f>
        <v>2.619616</v>
      </c>
      <c r="Z34" s="28" t="n">
        <f aca="false">X34%*Y34</f>
        <v>0.07858848</v>
      </c>
    </row>
    <row r="35" customFormat="false" ht="15" hidden="false" customHeight="false" outlineLevel="0" collapsed="false">
      <c r="R35" s="1" t="s">
        <v>652</v>
      </c>
      <c r="V35" s="55" t="s">
        <v>338</v>
      </c>
      <c r="W35" s="56" t="n">
        <v>1</v>
      </c>
      <c r="X35" s="57" t="n">
        <f aca="false">W35*8/$V$26</f>
        <v>0.032</v>
      </c>
      <c r="Y35" s="1" t="n">
        <v>180</v>
      </c>
      <c r="Z35" s="28" t="n">
        <f aca="false">X35*Y35</f>
        <v>5.76</v>
      </c>
    </row>
    <row r="36" customFormat="false" ht="15" hidden="false" customHeight="false" outlineLevel="0" collapsed="false">
      <c r="Q36" s="60"/>
      <c r="R36" s="60"/>
      <c r="S36" s="60"/>
      <c r="T36" s="60"/>
      <c r="U36" s="60"/>
      <c r="V36" s="60"/>
      <c r="W36" s="60"/>
      <c r="X36" s="60"/>
      <c r="Y36" s="60"/>
      <c r="Z36" s="61" t="n">
        <f aca="false">SUM(Z34:Z35)</f>
        <v>5.83858848</v>
      </c>
    </row>
    <row r="37" customFormat="false" ht="15" hidden="false" customHeight="false" outlineLevel="0" collapsed="false">
      <c r="A37" s="69"/>
      <c r="G37" s="227"/>
      <c r="H37" s="227"/>
      <c r="I37" s="208"/>
      <c r="R37" s="54"/>
      <c r="V37" s="55"/>
      <c r="W37" s="56"/>
      <c r="X37" s="57"/>
    </row>
    <row r="38" customFormat="false" ht="15" hidden="false" customHeight="false" outlineLevel="0" collapsed="false">
      <c r="Y38" s="28"/>
      <c r="Z38" s="28"/>
    </row>
    <row r="39" customFormat="false" ht="15" hidden="false" customHeight="false" outlineLevel="0" collapsed="false">
      <c r="G39" s="158"/>
      <c r="H39" s="158"/>
      <c r="I39" s="208"/>
      <c r="Y39" s="14"/>
      <c r="Z39" s="53"/>
    </row>
    <row r="40" customFormat="false" ht="15" hidden="false" customHeight="false" outlineLevel="0" collapsed="false">
      <c r="G40" s="158"/>
      <c r="H40" s="158"/>
      <c r="I40" s="208"/>
    </row>
    <row r="41" customFormat="false" ht="15" hidden="false" customHeight="false" outlineLevel="0" collapsed="false">
      <c r="Q41" s="14" t="s">
        <v>278</v>
      </c>
      <c r="R41" s="14"/>
      <c r="S41" s="14" t="s">
        <v>461</v>
      </c>
      <c r="T41" s="14"/>
    </row>
    <row r="42" customFormat="false" ht="15" hidden="false" customHeight="false" outlineLevel="0" collapsed="false">
      <c r="Q42" s="14" t="s">
        <v>279</v>
      </c>
      <c r="R42" s="14" t="s">
        <v>417</v>
      </c>
      <c r="S42" s="36" t="s">
        <v>281</v>
      </c>
      <c r="T42" s="52" t="n">
        <v>4</v>
      </c>
      <c r="U42" s="36" t="s">
        <v>282</v>
      </c>
      <c r="V42" s="52" t="n">
        <f aca="false">T42</f>
        <v>4</v>
      </c>
      <c r="W42" s="14" t="s">
        <v>283</v>
      </c>
      <c r="Y42" s="36" t="s">
        <v>204</v>
      </c>
      <c r="Z42" s="53" t="n">
        <f aca="false">Z47+Z50</f>
        <v>49.40498</v>
      </c>
    </row>
    <row r="43" customFormat="false" ht="15" hidden="false" customHeight="false" outlineLevel="0" collapsed="false">
      <c r="Q43" s="14" t="s">
        <v>284</v>
      </c>
      <c r="R43" s="14" t="s">
        <v>285</v>
      </c>
      <c r="V43" s="36" t="s">
        <v>123</v>
      </c>
      <c r="W43" s="36" t="s">
        <v>286</v>
      </c>
      <c r="X43" s="36" t="s">
        <v>287</v>
      </c>
      <c r="Y43" s="36" t="s">
        <v>288</v>
      </c>
      <c r="Z43" s="36" t="s">
        <v>289</v>
      </c>
    </row>
    <row r="44" customFormat="false" ht="15" hidden="false" customHeight="false" outlineLevel="0" collapsed="false">
      <c r="R44" s="54" t="s">
        <v>290</v>
      </c>
    </row>
    <row r="45" customFormat="false" ht="15" hidden="false" customHeight="false" outlineLevel="0" collapsed="false">
      <c r="R45" s="1" t="s">
        <v>651</v>
      </c>
      <c r="V45" s="55" t="s">
        <v>292</v>
      </c>
      <c r="W45" s="56" t="n">
        <v>0.1</v>
      </c>
      <c r="X45" s="57" t="n">
        <f aca="false">W45*8/$V$42</f>
        <v>0.2</v>
      </c>
      <c r="Y45" s="1" t="n">
        <v>34.73</v>
      </c>
      <c r="Z45" s="28" t="n">
        <f aca="false">X45*Y45</f>
        <v>6.946</v>
      </c>
    </row>
    <row r="46" customFormat="false" ht="15" hidden="false" customHeight="false" outlineLevel="0" collapsed="false">
      <c r="R46" s="1" t="s">
        <v>294</v>
      </c>
      <c r="V46" s="55" t="s">
        <v>292</v>
      </c>
      <c r="W46" s="56" t="n">
        <v>1</v>
      </c>
      <c r="X46" s="57" t="n">
        <f aca="false">W46*8/$V$42</f>
        <v>2</v>
      </c>
      <c r="Y46" s="1" t="n">
        <v>20.51</v>
      </c>
      <c r="Z46" s="28" t="n">
        <f aca="false">X46*Y46</f>
        <v>41.02</v>
      </c>
    </row>
    <row r="47" customFormat="false" ht="15" hidden="false" customHeight="false" outlineLevel="0" collapsed="false">
      <c r="V47" s="55"/>
      <c r="W47" s="56"/>
      <c r="X47" s="57"/>
      <c r="Z47" s="53" t="n">
        <f aca="false">SUM(Z45:Z46)</f>
        <v>47.966</v>
      </c>
    </row>
    <row r="48" customFormat="false" ht="15" hidden="false" customHeight="false" outlineLevel="0" collapsed="false">
      <c r="R48" s="54" t="s">
        <v>310</v>
      </c>
    </row>
    <row r="49" customFormat="false" ht="15" hidden="false" customHeight="false" outlineLevel="0" collapsed="false">
      <c r="R49" s="1" t="s">
        <v>311</v>
      </c>
      <c r="V49" s="55" t="s">
        <v>312</v>
      </c>
      <c r="X49" s="57" t="n">
        <v>3</v>
      </c>
      <c r="Y49" s="28" t="n">
        <f aca="false">Z47</f>
        <v>47.966</v>
      </c>
      <c r="Z49" s="28" t="n">
        <f aca="false">X49%*Y49</f>
        <v>1.43898</v>
      </c>
    </row>
    <row r="50" customFormat="false" ht="15" hidden="false" customHeight="false" outlineLevel="0" collapsed="false">
      <c r="Q50" s="60"/>
      <c r="R50" s="60"/>
      <c r="S50" s="60"/>
      <c r="T50" s="60"/>
      <c r="U50" s="60"/>
      <c r="V50" s="60"/>
      <c r="W50" s="60"/>
      <c r="X50" s="60"/>
      <c r="Y50" s="80"/>
      <c r="Z50" s="61" t="n">
        <f aca="false">SUM(Z49)</f>
        <v>1.43898</v>
      </c>
    </row>
    <row r="52" customFormat="false" ht="15" hidden="false" customHeight="false" outlineLevel="0" collapsed="false">
      <c r="Q52" s="14" t="s">
        <v>278</v>
      </c>
      <c r="R52" s="14"/>
      <c r="S52" s="14" t="s">
        <v>463</v>
      </c>
      <c r="T52" s="14"/>
    </row>
    <row r="53" customFormat="false" ht="15" hidden="false" customHeight="false" outlineLevel="0" collapsed="false">
      <c r="Q53" s="14" t="s">
        <v>279</v>
      </c>
      <c r="R53" s="14" t="s">
        <v>417</v>
      </c>
      <c r="S53" s="36" t="s">
        <v>281</v>
      </c>
      <c r="T53" s="52" t="n">
        <v>30</v>
      </c>
      <c r="U53" s="36" t="s">
        <v>282</v>
      </c>
      <c r="V53" s="52" t="n">
        <f aca="false">T53</f>
        <v>30</v>
      </c>
      <c r="W53" s="14" t="s">
        <v>283</v>
      </c>
      <c r="Y53" s="36" t="s">
        <v>204</v>
      </c>
      <c r="Z53" s="53" t="n">
        <f aca="false">Z59+Z63+Z67</f>
        <v>66.2342173333333</v>
      </c>
    </row>
    <row r="54" customFormat="false" ht="15" hidden="false" customHeight="false" outlineLevel="0" collapsed="false">
      <c r="Q54" s="14" t="s">
        <v>284</v>
      </c>
      <c r="R54" s="14" t="s">
        <v>285</v>
      </c>
      <c r="V54" s="36" t="s">
        <v>123</v>
      </c>
      <c r="W54" s="36" t="s">
        <v>286</v>
      </c>
      <c r="X54" s="36" t="s">
        <v>287</v>
      </c>
      <c r="Y54" s="36" t="s">
        <v>288</v>
      </c>
      <c r="Z54" s="36" t="s">
        <v>289</v>
      </c>
    </row>
    <row r="55" customFormat="false" ht="15" hidden="false" customHeight="false" outlineLevel="0" collapsed="false">
      <c r="R55" s="54" t="s">
        <v>290</v>
      </c>
    </row>
    <row r="56" customFormat="false" ht="15" hidden="false" customHeight="false" outlineLevel="0" collapsed="false">
      <c r="R56" s="1" t="s">
        <v>651</v>
      </c>
      <c r="V56" s="55" t="s">
        <v>292</v>
      </c>
      <c r="W56" s="56" t="n">
        <v>0.1</v>
      </c>
      <c r="X56" s="57" t="n">
        <f aca="false">W56*8/$V$53</f>
        <v>0.0266666666666667</v>
      </c>
      <c r="Y56" s="1" t="n">
        <v>34.73</v>
      </c>
      <c r="Z56" s="28" t="n">
        <f aca="false">X56*Y56</f>
        <v>0.926133333333333</v>
      </c>
    </row>
    <row r="57" customFormat="false" ht="15" hidden="false" customHeight="false" outlineLevel="0" collapsed="false">
      <c r="R57" s="1" t="s">
        <v>294</v>
      </c>
      <c r="V57" s="55" t="s">
        <v>292</v>
      </c>
      <c r="W57" s="56" t="n">
        <v>1</v>
      </c>
      <c r="X57" s="57" t="n">
        <f aca="false">W57*8/$V$53</f>
        <v>0.266666666666667</v>
      </c>
      <c r="Y57" s="1" t="n">
        <v>20.51</v>
      </c>
      <c r="Z57" s="28" t="n">
        <f aca="false">X57*Y57</f>
        <v>5.46933333333333</v>
      </c>
    </row>
    <row r="58" customFormat="false" ht="15" hidden="false" customHeight="false" outlineLevel="0" collapsed="false">
      <c r="R58" s="1" t="s">
        <v>653</v>
      </c>
      <c r="V58" s="55" t="s">
        <v>292</v>
      </c>
      <c r="W58" s="56" t="n">
        <v>1</v>
      </c>
      <c r="X58" s="57" t="n">
        <f aca="false">W58*8/$V$53</f>
        <v>0.266666666666667</v>
      </c>
      <c r="Y58" s="1" t="n">
        <v>29.94</v>
      </c>
      <c r="Z58" s="28" t="n">
        <f aca="false">X58*Y58</f>
        <v>7.984</v>
      </c>
    </row>
    <row r="59" customFormat="false" ht="15" hidden="false" customHeight="false" outlineLevel="0" collapsed="false">
      <c r="V59" s="55"/>
      <c r="W59" s="56"/>
      <c r="X59" s="57"/>
      <c r="Z59" s="53" t="n">
        <f aca="false">SUM(Z56:Z58)</f>
        <v>14.3794666666667</v>
      </c>
    </row>
    <row r="60" customFormat="false" ht="15" hidden="false" customHeight="false" outlineLevel="0" collapsed="false">
      <c r="R60" s="54" t="s">
        <v>654</v>
      </c>
      <c r="V60" s="55"/>
      <c r="W60" s="56"/>
      <c r="X60" s="57"/>
      <c r="Z60" s="28"/>
    </row>
    <row r="61" customFormat="false" ht="15" hidden="false" customHeight="false" outlineLevel="0" collapsed="false">
      <c r="R61" s="1" t="s">
        <v>655</v>
      </c>
      <c r="V61" s="55" t="s">
        <v>204</v>
      </c>
      <c r="W61" s="56"/>
      <c r="X61" s="57" t="n">
        <v>1.05</v>
      </c>
      <c r="Y61" s="46" t="n">
        <v>44.07</v>
      </c>
      <c r="Z61" s="28" t="n">
        <f aca="false">X61*Y61</f>
        <v>46.2735</v>
      </c>
    </row>
    <row r="62" customFormat="false" ht="15" hidden="false" customHeight="false" outlineLevel="0" collapsed="false">
      <c r="R62" s="1" t="s">
        <v>656</v>
      </c>
      <c r="V62" s="55" t="s">
        <v>204</v>
      </c>
      <c r="W62" s="56"/>
      <c r="X62" s="57" t="n">
        <v>0.08</v>
      </c>
      <c r="Y62" s="1" t="n">
        <v>6.14</v>
      </c>
      <c r="Z62" s="28" t="n">
        <f aca="false">X62*Y62</f>
        <v>0.4912</v>
      </c>
    </row>
    <row r="63" customFormat="false" ht="15" hidden="false" customHeight="false" outlineLevel="0" collapsed="false">
      <c r="V63" s="55"/>
      <c r="X63" s="57"/>
      <c r="Z63" s="53" t="n">
        <f aca="false">SUM(Z61:Z62)</f>
        <v>46.7647</v>
      </c>
    </row>
    <row r="64" customFormat="false" ht="15" hidden="false" customHeight="false" outlineLevel="0" collapsed="false">
      <c r="R64" s="54" t="s">
        <v>310</v>
      </c>
    </row>
    <row r="65" customFormat="false" ht="15" hidden="false" customHeight="false" outlineLevel="0" collapsed="false">
      <c r="R65" s="1" t="s">
        <v>311</v>
      </c>
      <c r="V65" s="55" t="s">
        <v>312</v>
      </c>
      <c r="X65" s="57" t="n">
        <v>3</v>
      </c>
      <c r="Y65" s="28" t="n">
        <f aca="false">Z59</f>
        <v>14.3794666666667</v>
      </c>
      <c r="Z65" s="28" t="n">
        <f aca="false">X65%*Y65</f>
        <v>0.431384</v>
      </c>
    </row>
    <row r="66" customFormat="false" ht="15" hidden="false" customHeight="false" outlineLevel="0" collapsed="false">
      <c r="R66" s="1" t="s">
        <v>657</v>
      </c>
      <c r="V66" s="55" t="s">
        <v>338</v>
      </c>
      <c r="W66" s="56" t="n">
        <v>1</v>
      </c>
      <c r="X66" s="57" t="n">
        <f aca="false">W66*8/$V$53</f>
        <v>0.266666666666667</v>
      </c>
      <c r="Y66" s="1" t="n">
        <v>17.47</v>
      </c>
      <c r="Z66" s="28" t="n">
        <f aca="false">X66*Y66</f>
        <v>4.65866666666667</v>
      </c>
    </row>
    <row r="67" customFormat="false" ht="15" hidden="false" customHeight="false" outlineLevel="0" collapsed="false">
      <c r="Q67" s="60"/>
      <c r="R67" s="60"/>
      <c r="S67" s="60"/>
      <c r="T67" s="60"/>
      <c r="U67" s="60"/>
      <c r="V67" s="60"/>
      <c r="W67" s="60"/>
      <c r="X67" s="60"/>
      <c r="Y67" s="80"/>
      <c r="Z67" s="61" t="n">
        <f aca="false">SUM(Z65:Z66)</f>
        <v>5.09005066666667</v>
      </c>
    </row>
    <row r="69" customFormat="false" ht="15" hidden="false" customHeight="false" outlineLevel="0" collapsed="false">
      <c r="Q69" s="14" t="s">
        <v>278</v>
      </c>
      <c r="R69" s="14"/>
      <c r="S69" s="14" t="s">
        <v>465</v>
      </c>
      <c r="T69" s="14"/>
    </row>
    <row r="70" customFormat="false" ht="15" hidden="false" customHeight="false" outlineLevel="0" collapsed="false">
      <c r="Q70" s="14" t="s">
        <v>279</v>
      </c>
      <c r="R70" s="14" t="s">
        <v>417</v>
      </c>
      <c r="S70" s="36" t="s">
        <v>281</v>
      </c>
      <c r="T70" s="52" t="n">
        <v>40</v>
      </c>
      <c r="U70" s="36" t="s">
        <v>282</v>
      </c>
      <c r="V70" s="52" t="n">
        <f aca="false">T70</f>
        <v>40</v>
      </c>
      <c r="W70" s="14" t="s">
        <v>283</v>
      </c>
      <c r="Y70" s="36" t="s">
        <v>204</v>
      </c>
      <c r="Z70" s="53" t="n">
        <f aca="false">Z76+Z84</f>
        <v>19.29963</v>
      </c>
    </row>
    <row r="71" customFormat="false" ht="15" hidden="false" customHeight="false" outlineLevel="0" collapsed="false">
      <c r="Q71" s="14" t="s">
        <v>284</v>
      </c>
      <c r="R71" s="14" t="s">
        <v>285</v>
      </c>
      <c r="V71" s="36" t="s">
        <v>123</v>
      </c>
      <c r="W71" s="36" t="s">
        <v>286</v>
      </c>
      <c r="X71" s="36" t="s">
        <v>287</v>
      </c>
      <c r="Y71" s="36" t="s">
        <v>288</v>
      </c>
      <c r="Z71" s="36" t="s">
        <v>289</v>
      </c>
    </row>
    <row r="72" customFormat="false" ht="15" hidden="false" customHeight="false" outlineLevel="0" collapsed="false">
      <c r="R72" s="54" t="s">
        <v>290</v>
      </c>
    </row>
    <row r="73" customFormat="false" ht="15" hidden="false" customHeight="false" outlineLevel="0" collapsed="false">
      <c r="R73" s="1" t="s">
        <v>651</v>
      </c>
      <c r="V73" s="55" t="s">
        <v>292</v>
      </c>
      <c r="W73" s="56" t="n">
        <v>0.1</v>
      </c>
      <c r="X73" s="57" t="n">
        <f aca="false">W73*8/$V$70</f>
        <v>0.02</v>
      </c>
      <c r="Y73" s="1" t="n">
        <v>34.73</v>
      </c>
      <c r="Z73" s="28" t="n">
        <f aca="false">X73*Y73</f>
        <v>0.6946</v>
      </c>
    </row>
    <row r="74" customFormat="false" ht="15" hidden="false" customHeight="false" outlineLevel="0" collapsed="false">
      <c r="R74" s="1" t="s">
        <v>294</v>
      </c>
      <c r="V74" s="55" t="s">
        <v>292</v>
      </c>
      <c r="W74" s="56" t="n">
        <v>2</v>
      </c>
      <c r="X74" s="57" t="n">
        <f aca="false">W74*8/$V$70</f>
        <v>0.4</v>
      </c>
      <c r="Y74" s="1" t="n">
        <v>20.51</v>
      </c>
      <c r="Z74" s="28" t="n">
        <f aca="false">X74*Y74</f>
        <v>8.204</v>
      </c>
    </row>
    <row r="75" customFormat="false" ht="15" hidden="false" customHeight="false" outlineLevel="0" collapsed="false">
      <c r="R75" s="1" t="s">
        <v>653</v>
      </c>
      <c r="V75" s="55" t="s">
        <v>292</v>
      </c>
      <c r="W75" s="56" t="n">
        <v>1</v>
      </c>
      <c r="X75" s="57" t="n">
        <f aca="false">W75*8/$V$70</f>
        <v>0.2</v>
      </c>
      <c r="Y75" s="1" t="n">
        <v>29.94</v>
      </c>
      <c r="Z75" s="28" t="n">
        <f aca="false">X75*Y75</f>
        <v>5.988</v>
      </c>
    </row>
    <row r="76" customFormat="false" ht="15" hidden="false" customHeight="false" outlineLevel="0" collapsed="false">
      <c r="Z76" s="53" t="n">
        <f aca="false">SUM(Z73:Z75)</f>
        <v>14.8866</v>
      </c>
    </row>
    <row r="77" customFormat="false" ht="15" hidden="false" customHeight="false" outlineLevel="0" collapsed="false">
      <c r="R77" s="54" t="s">
        <v>654</v>
      </c>
      <c r="V77" s="55"/>
      <c r="W77" s="56"/>
      <c r="X77" s="57"/>
      <c r="Z77" s="28"/>
    </row>
    <row r="78" customFormat="false" ht="15" hidden="false" customHeight="false" outlineLevel="0" collapsed="false">
      <c r="R78" s="1" t="s">
        <v>656</v>
      </c>
      <c r="V78" s="55" t="s">
        <v>204</v>
      </c>
      <c r="W78" s="56"/>
      <c r="X78" s="57" t="n">
        <v>0.08</v>
      </c>
      <c r="Y78" s="1" t="n">
        <v>6.14</v>
      </c>
      <c r="Z78" s="28" t="n">
        <f aca="false">X78*Y78</f>
        <v>0.4912</v>
      </c>
    </row>
    <row r="79" customFormat="false" ht="15" hidden="false" customHeight="false" outlineLevel="0" collapsed="false">
      <c r="V79" s="55"/>
      <c r="X79" s="57"/>
      <c r="Z79" s="53" t="n">
        <f aca="false">SUM(Z78:Z78)</f>
        <v>0.4912</v>
      </c>
    </row>
    <row r="80" customFormat="false" ht="15" hidden="false" customHeight="false" outlineLevel="0" collapsed="false">
      <c r="R80" s="54" t="s">
        <v>310</v>
      </c>
    </row>
    <row r="81" customFormat="false" ht="15" hidden="false" customHeight="false" outlineLevel="0" collapsed="false">
      <c r="R81" s="1" t="s">
        <v>311</v>
      </c>
      <c r="V81" s="55" t="s">
        <v>312</v>
      </c>
      <c r="X81" s="57" t="n">
        <v>5</v>
      </c>
      <c r="Y81" s="28" t="n">
        <f aca="false">Z76</f>
        <v>14.8866</v>
      </c>
      <c r="Z81" s="28" t="n">
        <f aca="false">X81%*Y81</f>
        <v>0.74433</v>
      </c>
    </row>
    <row r="82" customFormat="false" ht="15" hidden="false" customHeight="false" outlineLevel="0" collapsed="false">
      <c r="R82" s="1" t="s">
        <v>657</v>
      </c>
      <c r="V82" s="55" t="s">
        <v>338</v>
      </c>
      <c r="W82" s="56" t="n">
        <v>1</v>
      </c>
      <c r="X82" s="57" t="n">
        <f aca="false">W82*8/$V$70</f>
        <v>0.2</v>
      </c>
      <c r="Y82" s="1" t="n">
        <v>17.47</v>
      </c>
      <c r="Z82" s="28" t="n">
        <f aca="false">X82*Y82</f>
        <v>3.494</v>
      </c>
    </row>
    <row r="83" customFormat="false" ht="15" hidden="false" customHeight="false" outlineLevel="0" collapsed="false">
      <c r="R83" s="1" t="s">
        <v>658</v>
      </c>
      <c r="V83" s="55" t="s">
        <v>338</v>
      </c>
      <c r="W83" s="56" t="n">
        <v>0.05</v>
      </c>
      <c r="X83" s="57" t="n">
        <f aca="false">W83*8/$V$70</f>
        <v>0.01</v>
      </c>
      <c r="Y83" s="1" t="n">
        <v>17.47</v>
      </c>
      <c r="Z83" s="28" t="n">
        <f aca="false">X83*Y83</f>
        <v>0.1747</v>
      </c>
    </row>
    <row r="84" customFormat="false" ht="15" hidden="false" customHeight="false" outlineLevel="0" collapsed="false">
      <c r="Q84" s="60"/>
      <c r="R84" s="60"/>
      <c r="S84" s="60"/>
      <c r="T84" s="60"/>
      <c r="U84" s="60"/>
      <c r="V84" s="60"/>
      <c r="W84" s="60"/>
      <c r="X84" s="60"/>
      <c r="Y84" s="80"/>
      <c r="Z84" s="61" t="n">
        <f aca="false">SUM(Z81:Z83)</f>
        <v>4.41303</v>
      </c>
    </row>
    <row r="86" customFormat="false" ht="15" hidden="false" customHeight="false" outlineLevel="0" collapsed="false">
      <c r="Q86" s="14" t="s">
        <v>278</v>
      </c>
      <c r="R86" s="14"/>
      <c r="S86" s="14" t="s">
        <v>1345</v>
      </c>
      <c r="T86" s="14"/>
    </row>
    <row r="87" customFormat="false" ht="15" hidden="false" customHeight="false" outlineLevel="0" collapsed="false">
      <c r="Q87" s="14" t="s">
        <v>279</v>
      </c>
      <c r="R87" s="14" t="s">
        <v>280</v>
      </c>
      <c r="S87" s="36" t="s">
        <v>281</v>
      </c>
      <c r="T87" s="52" t="n">
        <v>500</v>
      </c>
      <c r="U87" s="36" t="s">
        <v>282</v>
      </c>
      <c r="V87" s="52" t="n">
        <f aca="false">T87</f>
        <v>500</v>
      </c>
      <c r="W87" s="14" t="s">
        <v>283</v>
      </c>
      <c r="Y87" s="36" t="s">
        <v>134</v>
      </c>
      <c r="Z87" s="53" t="n">
        <f aca="false">Z93+Z99</f>
        <v>7.930344</v>
      </c>
    </row>
    <row r="88" customFormat="false" ht="15" hidden="false" customHeight="false" outlineLevel="0" collapsed="false">
      <c r="Q88" s="14" t="s">
        <v>284</v>
      </c>
      <c r="R88" s="14" t="s">
        <v>285</v>
      </c>
      <c r="V88" s="36" t="s">
        <v>123</v>
      </c>
      <c r="W88" s="36" t="s">
        <v>286</v>
      </c>
      <c r="X88" s="36" t="s">
        <v>287</v>
      </c>
      <c r="Y88" s="36" t="s">
        <v>288</v>
      </c>
      <c r="Z88" s="36" t="s">
        <v>289</v>
      </c>
    </row>
    <row r="89" customFormat="false" ht="15" hidden="false" customHeight="false" outlineLevel="0" collapsed="false">
      <c r="R89" s="54" t="s">
        <v>290</v>
      </c>
    </row>
    <row r="90" customFormat="false" ht="15" hidden="false" customHeight="false" outlineLevel="0" collapsed="false">
      <c r="R90" s="1" t="s">
        <v>651</v>
      </c>
      <c r="V90" s="55" t="s">
        <v>292</v>
      </c>
      <c r="W90" s="56" t="n">
        <v>1</v>
      </c>
      <c r="X90" s="57" t="n">
        <f aca="false">W90*8/$T$87</f>
        <v>0.016</v>
      </c>
      <c r="Y90" s="1" t="n">
        <v>34.73</v>
      </c>
      <c r="Z90" s="28" t="n">
        <f aca="false">X90*Y90</f>
        <v>0.55568</v>
      </c>
    </row>
    <row r="91" customFormat="false" ht="15" hidden="false" customHeight="false" outlineLevel="0" collapsed="false">
      <c r="R91" s="1" t="s">
        <v>293</v>
      </c>
      <c r="V91" s="55" t="s">
        <v>292</v>
      </c>
      <c r="W91" s="56" t="n">
        <v>1</v>
      </c>
      <c r="X91" s="57" t="n">
        <f aca="false">W91*8/$T$87</f>
        <v>0.016</v>
      </c>
      <c r="Y91" s="1" t="n">
        <v>23.6</v>
      </c>
      <c r="Z91" s="28" t="n">
        <f aca="false">X91*Y91</f>
        <v>0.3776</v>
      </c>
    </row>
    <row r="92" customFormat="false" ht="15" hidden="false" customHeight="false" outlineLevel="0" collapsed="false">
      <c r="R92" s="1" t="s">
        <v>294</v>
      </c>
      <c r="V92" s="55" t="s">
        <v>292</v>
      </c>
      <c r="W92" s="56" t="n">
        <v>3</v>
      </c>
      <c r="X92" s="57" t="n">
        <f aca="false">W92*8/$T$87</f>
        <v>0.048</v>
      </c>
      <c r="Y92" s="1" t="n">
        <v>20.51</v>
      </c>
      <c r="Z92" s="28" t="n">
        <f aca="false">X92*Y92</f>
        <v>0.98448</v>
      </c>
    </row>
    <row r="93" customFormat="false" ht="15" hidden="false" customHeight="false" outlineLevel="0" collapsed="false">
      <c r="Z93" s="53" t="n">
        <f aca="false">SUM(Z90:Z92)</f>
        <v>1.91776</v>
      </c>
    </row>
    <row r="94" customFormat="false" ht="15" hidden="false" customHeight="false" outlineLevel="0" collapsed="false">
      <c r="R94" s="54" t="s">
        <v>310</v>
      </c>
    </row>
    <row r="95" customFormat="false" ht="15" hidden="false" customHeight="false" outlineLevel="0" collapsed="false">
      <c r="R95" s="1" t="s">
        <v>311</v>
      </c>
      <c r="V95" s="55" t="s">
        <v>312</v>
      </c>
      <c r="X95" s="57" t="n">
        <v>5</v>
      </c>
      <c r="Y95" s="28" t="n">
        <f aca="false">Z90</f>
        <v>0.55568</v>
      </c>
      <c r="Z95" s="28" t="n">
        <f aca="false">X95%*Y95</f>
        <v>0.027784</v>
      </c>
    </row>
    <row r="96" customFormat="false" ht="15" hidden="false" customHeight="true" outlineLevel="0" collapsed="false">
      <c r="R96" s="1" t="s">
        <v>657</v>
      </c>
      <c r="V96" s="55" t="s">
        <v>338</v>
      </c>
      <c r="W96" s="56" t="n">
        <v>1</v>
      </c>
      <c r="X96" s="57" t="n">
        <f aca="false">W96*8/$T$87</f>
        <v>0.016</v>
      </c>
      <c r="Y96" s="1" t="n">
        <v>17.47</v>
      </c>
      <c r="Z96" s="28" t="n">
        <f aca="false">X96*Y96</f>
        <v>0.27952</v>
      </c>
    </row>
    <row r="97" customFormat="false" ht="15" hidden="false" customHeight="true" outlineLevel="0" collapsed="false">
      <c r="R97" s="1" t="s">
        <v>659</v>
      </c>
      <c r="V97" s="55" t="s">
        <v>338</v>
      </c>
      <c r="W97" s="56" t="n">
        <v>1</v>
      </c>
      <c r="X97" s="57" t="n">
        <f aca="false">W97*8/$T$87</f>
        <v>0.016</v>
      </c>
      <c r="Y97" s="1" t="n">
        <v>136.06</v>
      </c>
      <c r="Z97" s="28" t="n">
        <f aca="false">X97*Y97</f>
        <v>2.17696</v>
      </c>
    </row>
    <row r="98" customFormat="false" ht="15" hidden="false" customHeight="true" outlineLevel="0" collapsed="false">
      <c r="R98" s="228" t="s">
        <v>660</v>
      </c>
      <c r="S98" s="228"/>
      <c r="T98" s="228"/>
      <c r="U98" s="228"/>
      <c r="V98" s="55" t="s">
        <v>338</v>
      </c>
      <c r="W98" s="56" t="n">
        <v>1</v>
      </c>
      <c r="X98" s="57" t="n">
        <f aca="false">W98*8/$T$87</f>
        <v>0.016</v>
      </c>
      <c r="Y98" s="1" t="n">
        <v>220.52</v>
      </c>
      <c r="Z98" s="28" t="n">
        <f aca="false">X98*Y98</f>
        <v>3.52832</v>
      </c>
    </row>
    <row r="99" customFormat="false" ht="15" hidden="false" customHeight="false" outlineLevel="0" collapsed="false">
      <c r="Q99" s="60"/>
      <c r="R99" s="60"/>
      <c r="S99" s="60"/>
      <c r="T99" s="60"/>
      <c r="U99" s="60"/>
      <c r="V99" s="60"/>
      <c r="W99" s="60"/>
      <c r="X99" s="60"/>
      <c r="Y99" s="80"/>
      <c r="Z99" s="61" t="n">
        <f aca="false">SUM(Z95:Z98)</f>
        <v>6.012584</v>
      </c>
    </row>
    <row r="101" customFormat="false" ht="15" hidden="false" customHeight="false" outlineLevel="0" collapsed="false">
      <c r="Q101" s="14" t="s">
        <v>278</v>
      </c>
      <c r="R101" s="14"/>
      <c r="S101" s="14" t="s">
        <v>469</v>
      </c>
      <c r="T101" s="14"/>
    </row>
    <row r="102" customFormat="false" ht="15" hidden="false" customHeight="false" outlineLevel="0" collapsed="false">
      <c r="Q102" s="14" t="s">
        <v>279</v>
      </c>
      <c r="R102" s="14" t="s">
        <v>314</v>
      </c>
      <c r="S102" s="36" t="s">
        <v>281</v>
      </c>
      <c r="T102" s="52" t="n">
        <v>80</v>
      </c>
      <c r="U102" s="36" t="s">
        <v>282</v>
      </c>
      <c r="V102" s="52" t="n">
        <f aca="false">T102</f>
        <v>80</v>
      </c>
      <c r="W102" s="14" t="s">
        <v>283</v>
      </c>
      <c r="Y102" s="36" t="s">
        <v>145</v>
      </c>
      <c r="Z102" s="53" t="n">
        <f aca="false">Z106+Z110</f>
        <v>12.11253</v>
      </c>
    </row>
    <row r="103" customFormat="false" ht="15" hidden="false" customHeight="false" outlineLevel="0" collapsed="false">
      <c r="Q103" s="14" t="s">
        <v>284</v>
      </c>
      <c r="R103" s="14" t="s">
        <v>285</v>
      </c>
      <c r="V103" s="36" t="s">
        <v>123</v>
      </c>
      <c r="W103" s="36" t="s">
        <v>286</v>
      </c>
      <c r="X103" s="36" t="s">
        <v>287</v>
      </c>
      <c r="Y103" s="36" t="s">
        <v>288</v>
      </c>
      <c r="Z103" s="36" t="s">
        <v>289</v>
      </c>
    </row>
    <row r="104" customFormat="false" ht="15" hidden="false" customHeight="false" outlineLevel="0" collapsed="false">
      <c r="R104" s="54" t="s">
        <v>290</v>
      </c>
    </row>
    <row r="105" customFormat="false" ht="15" hidden="false" customHeight="false" outlineLevel="0" collapsed="false">
      <c r="R105" s="1" t="s">
        <v>294</v>
      </c>
      <c r="V105" s="55" t="s">
        <v>292</v>
      </c>
      <c r="W105" s="56" t="n">
        <v>1</v>
      </c>
      <c r="X105" s="57" t="n">
        <f aca="false">W105*8/$V$102</f>
        <v>0.1</v>
      </c>
      <c r="Y105" s="1" t="n">
        <v>20.51</v>
      </c>
      <c r="Z105" s="28" t="n">
        <f aca="false">X105*Y105</f>
        <v>2.051</v>
      </c>
    </row>
    <row r="106" customFormat="false" ht="15" hidden="false" customHeight="false" outlineLevel="0" collapsed="false">
      <c r="V106" s="55"/>
      <c r="W106" s="56"/>
      <c r="X106" s="57"/>
      <c r="Z106" s="53" t="n">
        <f aca="false">SUM(Z105:Z105)</f>
        <v>2.051</v>
      </c>
    </row>
    <row r="107" customFormat="false" ht="15" hidden="false" customHeight="false" outlineLevel="0" collapsed="false">
      <c r="R107" s="54" t="s">
        <v>310</v>
      </c>
    </row>
    <row r="108" customFormat="false" ht="15" hidden="false" customHeight="false" outlineLevel="0" collapsed="false">
      <c r="R108" s="1" t="s">
        <v>311</v>
      </c>
      <c r="V108" s="55" t="s">
        <v>312</v>
      </c>
      <c r="X108" s="57" t="n">
        <v>3</v>
      </c>
      <c r="Y108" s="28" t="n">
        <f aca="false">Z106</f>
        <v>2.051</v>
      </c>
      <c r="Z108" s="28" t="n">
        <f aca="false">X108%*Y108</f>
        <v>0.06153</v>
      </c>
    </row>
    <row r="109" customFormat="false" ht="15" hidden="false" customHeight="false" outlineLevel="0" collapsed="false">
      <c r="R109" s="1" t="s">
        <v>661</v>
      </c>
      <c r="V109" s="55" t="s">
        <v>338</v>
      </c>
      <c r="W109" s="56" t="n">
        <v>1</v>
      </c>
      <c r="X109" s="57" t="n">
        <f aca="false">W109*8/$V$102</f>
        <v>0.1</v>
      </c>
      <c r="Y109" s="1" t="n">
        <v>100</v>
      </c>
      <c r="Z109" s="28" t="n">
        <f aca="false">X109*Y109</f>
        <v>10</v>
      </c>
    </row>
    <row r="110" customFormat="false" ht="15" hidden="false" customHeight="false" outlineLevel="0" collapsed="false">
      <c r="Q110" s="60"/>
      <c r="R110" s="60"/>
      <c r="S110" s="60"/>
      <c r="T110" s="60"/>
      <c r="U110" s="60"/>
      <c r="V110" s="60"/>
      <c r="W110" s="60"/>
      <c r="X110" s="60"/>
      <c r="Y110" s="80"/>
      <c r="Z110" s="61" t="n">
        <f aca="false">SUM(Z108:Z109)</f>
        <v>10.06153</v>
      </c>
    </row>
    <row r="112" customFormat="false" ht="15" hidden="false" customHeight="false" outlineLevel="0" collapsed="false">
      <c r="Q112" s="14" t="s">
        <v>278</v>
      </c>
      <c r="R112" s="14"/>
      <c r="S112" s="14" t="s">
        <v>471</v>
      </c>
      <c r="T112" s="14"/>
    </row>
    <row r="113" customFormat="false" ht="15" hidden="false" customHeight="false" outlineLevel="0" collapsed="false">
      <c r="Q113" s="14" t="s">
        <v>279</v>
      </c>
      <c r="R113" s="14" t="s">
        <v>417</v>
      </c>
      <c r="S113" s="36" t="s">
        <v>281</v>
      </c>
      <c r="T113" s="52" t="n">
        <v>187.5</v>
      </c>
      <c r="U113" s="36" t="s">
        <v>282</v>
      </c>
      <c r="V113" s="52" t="n">
        <f aca="false">T113</f>
        <v>187.5</v>
      </c>
      <c r="W113" s="14" t="s">
        <v>283</v>
      </c>
      <c r="Y113" s="36" t="s">
        <v>204</v>
      </c>
      <c r="Z113" s="53" t="n">
        <f aca="false">Z118+Z123</f>
        <v>22.9100074666667</v>
      </c>
    </row>
    <row r="114" customFormat="false" ht="15" hidden="false" customHeight="false" outlineLevel="0" collapsed="false">
      <c r="Q114" s="14" t="s">
        <v>284</v>
      </c>
      <c r="R114" s="14" t="s">
        <v>285</v>
      </c>
      <c r="V114" s="36" t="s">
        <v>123</v>
      </c>
      <c r="W114" s="36" t="s">
        <v>286</v>
      </c>
      <c r="X114" s="36" t="s">
        <v>287</v>
      </c>
      <c r="Y114" s="36" t="s">
        <v>288</v>
      </c>
      <c r="Z114" s="36" t="s">
        <v>289</v>
      </c>
    </row>
    <row r="115" customFormat="false" ht="15" hidden="false" customHeight="false" outlineLevel="0" collapsed="false">
      <c r="R115" s="54" t="s">
        <v>290</v>
      </c>
    </row>
    <row r="116" customFormat="false" ht="15" hidden="false" customHeight="false" outlineLevel="0" collapsed="false">
      <c r="R116" s="1" t="s">
        <v>293</v>
      </c>
      <c r="V116" s="55" t="s">
        <v>292</v>
      </c>
      <c r="W116" s="56" t="n">
        <v>1</v>
      </c>
      <c r="X116" s="57" t="n">
        <f aca="false">W116*8/$V$113</f>
        <v>0.0426666666666667</v>
      </c>
      <c r="Y116" s="1" t="n">
        <v>23.6</v>
      </c>
      <c r="Z116" s="28" t="n">
        <f aca="false">X116*Y116</f>
        <v>1.00693333333333</v>
      </c>
    </row>
    <row r="117" customFormat="false" ht="15" hidden="false" customHeight="false" outlineLevel="0" collapsed="false">
      <c r="R117" s="1" t="s">
        <v>294</v>
      </c>
      <c r="V117" s="55" t="s">
        <v>292</v>
      </c>
      <c r="W117" s="56" t="n">
        <v>1</v>
      </c>
      <c r="X117" s="57" t="n">
        <f aca="false">W117*8/$V$113</f>
        <v>0.0426666666666667</v>
      </c>
      <c r="Y117" s="1" t="n">
        <v>20.51</v>
      </c>
      <c r="Z117" s="28" t="n">
        <f aca="false">X117*Y117</f>
        <v>0.875093333333333</v>
      </c>
    </row>
    <row r="118" customFormat="false" ht="15" hidden="false" customHeight="false" outlineLevel="0" collapsed="false">
      <c r="V118" s="55"/>
      <c r="W118" s="56"/>
      <c r="X118" s="57"/>
      <c r="Z118" s="53" t="n">
        <f aca="false">SUM(Z116:Z117)</f>
        <v>1.88202666666667</v>
      </c>
    </row>
    <row r="119" customFormat="false" ht="15" hidden="false" customHeight="false" outlineLevel="0" collapsed="false">
      <c r="R119" s="54" t="s">
        <v>310</v>
      </c>
    </row>
    <row r="120" customFormat="false" ht="15" hidden="false" customHeight="false" outlineLevel="0" collapsed="false">
      <c r="R120" s="1" t="s">
        <v>311</v>
      </c>
      <c r="V120" s="55" t="s">
        <v>312</v>
      </c>
      <c r="X120" s="57" t="n">
        <v>3</v>
      </c>
      <c r="Y120" s="28" t="n">
        <f aca="false">Z118</f>
        <v>1.88202666666667</v>
      </c>
      <c r="Z120" s="28" t="n">
        <f aca="false">X120%*Y120</f>
        <v>0.0564608</v>
      </c>
    </row>
    <row r="121" customFormat="false" ht="15" hidden="false" customHeight="false" outlineLevel="0" collapsed="false">
      <c r="R121" s="1" t="s">
        <v>662</v>
      </c>
      <c r="V121" s="55" t="s">
        <v>338</v>
      </c>
      <c r="W121" s="56" t="n">
        <v>1</v>
      </c>
      <c r="X121" s="57" t="n">
        <f aca="false">W121*8/$V$113</f>
        <v>0.0426666666666667</v>
      </c>
      <c r="Y121" s="46" t="n">
        <v>118.64</v>
      </c>
      <c r="Z121" s="28" t="n">
        <f aca="false">X121*Y121</f>
        <v>5.06197333333333</v>
      </c>
    </row>
    <row r="122" customFormat="false" ht="15" hidden="false" customHeight="false" outlineLevel="0" collapsed="false">
      <c r="R122" s="1" t="s">
        <v>663</v>
      </c>
      <c r="V122" s="55" t="s">
        <v>338</v>
      </c>
      <c r="W122" s="56" t="n">
        <v>2</v>
      </c>
      <c r="X122" s="57" t="n">
        <f aca="false">W122*8/$V$113</f>
        <v>0.0853333333333333</v>
      </c>
      <c r="Y122" s="46" t="n">
        <v>186.44</v>
      </c>
      <c r="Z122" s="28" t="n">
        <f aca="false">X122*Y122</f>
        <v>15.9095466666667</v>
      </c>
    </row>
    <row r="123" customFormat="false" ht="15" hidden="false" customHeight="false" outlineLevel="0" collapsed="false">
      <c r="Q123" s="60"/>
      <c r="R123" s="60"/>
      <c r="S123" s="60"/>
      <c r="T123" s="60"/>
      <c r="U123" s="60"/>
      <c r="V123" s="60"/>
      <c r="W123" s="60"/>
      <c r="X123" s="60"/>
      <c r="Y123" s="80"/>
      <c r="Z123" s="61" t="n">
        <f aca="false">SUM(Z120:Z122)</f>
        <v>21.0279808</v>
      </c>
    </row>
    <row r="125" customFormat="false" ht="15" hidden="false" customHeight="false" outlineLevel="0" collapsed="false">
      <c r="Q125" s="82" t="s">
        <v>278</v>
      </c>
      <c r="R125" s="82"/>
      <c r="S125" s="82" t="s">
        <v>484</v>
      </c>
      <c r="T125" s="82"/>
    </row>
    <row r="126" customFormat="false" ht="15" hidden="false" customHeight="false" outlineLevel="0" collapsed="false">
      <c r="Q126" s="82" t="s">
        <v>279</v>
      </c>
      <c r="R126" s="82" t="s">
        <v>280</v>
      </c>
      <c r="S126" s="84" t="s">
        <v>281</v>
      </c>
      <c r="T126" s="85" t="n">
        <v>50</v>
      </c>
      <c r="U126" s="84" t="s">
        <v>282</v>
      </c>
      <c r="V126" s="85" t="n">
        <f aca="false">T126</f>
        <v>50</v>
      </c>
      <c r="W126" s="82" t="s">
        <v>283</v>
      </c>
      <c r="Y126" s="84" t="s">
        <v>134</v>
      </c>
      <c r="Z126" s="86" t="n">
        <f aca="false">Z134+Z141+Z145</f>
        <v>238.3435744</v>
      </c>
    </row>
    <row r="127" customFormat="false" ht="15" hidden="false" customHeight="false" outlineLevel="0" collapsed="false">
      <c r="Q127" s="82" t="s">
        <v>284</v>
      </c>
      <c r="R127" s="82" t="s">
        <v>285</v>
      </c>
      <c r="V127" s="84" t="s">
        <v>123</v>
      </c>
      <c r="W127" s="84" t="s">
        <v>286</v>
      </c>
      <c r="X127" s="84" t="s">
        <v>287</v>
      </c>
      <c r="Y127" s="84" t="s">
        <v>288</v>
      </c>
      <c r="Z127" s="84" t="s">
        <v>289</v>
      </c>
    </row>
    <row r="128" customFormat="false" ht="15" hidden="false" customHeight="false" outlineLevel="0" collapsed="false">
      <c r="R128" s="87" t="s">
        <v>290</v>
      </c>
    </row>
    <row r="129" customFormat="false" ht="15" hidden="false" customHeight="false" outlineLevel="0" collapsed="false">
      <c r="R129" s="1" t="s">
        <v>651</v>
      </c>
      <c r="V129" s="55" t="s">
        <v>292</v>
      </c>
      <c r="W129" s="56" t="n">
        <v>0.1</v>
      </c>
      <c r="X129" s="57" t="n">
        <f aca="false">W129*8/$T$126</f>
        <v>0.016</v>
      </c>
      <c r="Y129" s="1" t="n">
        <v>34.73</v>
      </c>
      <c r="Z129" s="28" t="n">
        <f aca="false">X129*Y129</f>
        <v>0.55568</v>
      </c>
    </row>
    <row r="130" customFormat="false" ht="15" hidden="false" customHeight="false" outlineLevel="0" collapsed="false">
      <c r="R130" s="1" t="s">
        <v>291</v>
      </c>
      <c r="V130" s="55" t="s">
        <v>292</v>
      </c>
      <c r="W130" s="56" t="n">
        <v>1</v>
      </c>
      <c r="X130" s="57" t="n">
        <f aca="false">W130*8/$T$126</f>
        <v>0.16</v>
      </c>
      <c r="Y130" s="28" t="n">
        <v>28.94</v>
      </c>
      <c r="Z130" s="28" t="n">
        <f aca="false">X130*Y130</f>
        <v>4.6304</v>
      </c>
    </row>
    <row r="131" customFormat="false" ht="15" hidden="false" customHeight="false" outlineLevel="0" collapsed="false">
      <c r="R131" s="1" t="s">
        <v>293</v>
      </c>
      <c r="V131" s="55" t="s">
        <v>292</v>
      </c>
      <c r="W131" s="56" t="n">
        <v>2</v>
      </c>
      <c r="X131" s="57" t="n">
        <f aca="false">W131*8/$T$126</f>
        <v>0.32</v>
      </c>
      <c r="Y131" s="28" t="n">
        <v>23.6</v>
      </c>
      <c r="Z131" s="28" t="n">
        <f aca="false">X131*Y131</f>
        <v>7.552</v>
      </c>
    </row>
    <row r="132" customFormat="false" ht="15" hidden="false" customHeight="false" outlineLevel="0" collapsed="false">
      <c r="R132" s="1" t="s">
        <v>294</v>
      </c>
      <c r="V132" s="55" t="s">
        <v>292</v>
      </c>
      <c r="W132" s="56" t="n">
        <v>5</v>
      </c>
      <c r="X132" s="57" t="n">
        <f aca="false">W132*8/$T$126</f>
        <v>0.8</v>
      </c>
      <c r="Y132" s="28" t="n">
        <v>21.36</v>
      </c>
      <c r="Z132" s="28" t="n">
        <f aca="false">X132*Y132</f>
        <v>17.088</v>
      </c>
    </row>
    <row r="133" customFormat="false" ht="15" hidden="false" customHeight="false" outlineLevel="0" collapsed="false">
      <c r="R133" s="1" t="s">
        <v>653</v>
      </c>
      <c r="V133" s="55" t="s">
        <v>292</v>
      </c>
      <c r="W133" s="56" t="n">
        <v>1</v>
      </c>
      <c r="X133" s="57" t="n">
        <f aca="false">W133*8/$T$126</f>
        <v>0.16</v>
      </c>
      <c r="Y133" s="1" t="n">
        <v>29.94</v>
      </c>
      <c r="Z133" s="28" t="n">
        <f aca="false">X133*Y133</f>
        <v>4.7904</v>
      </c>
    </row>
    <row r="134" customFormat="false" ht="15" hidden="false" customHeight="false" outlineLevel="0" collapsed="false">
      <c r="V134" s="55"/>
      <c r="W134" s="56"/>
      <c r="X134" s="57"/>
      <c r="Z134" s="86" t="n">
        <f aca="false">SUM(Z129:Z133)</f>
        <v>34.61648</v>
      </c>
    </row>
    <row r="135" customFormat="false" ht="15" hidden="false" customHeight="false" outlineLevel="0" collapsed="false">
      <c r="R135" s="87" t="s">
        <v>654</v>
      </c>
      <c r="V135" s="55"/>
      <c r="W135" s="56"/>
      <c r="X135" s="57"/>
      <c r="Z135" s="28"/>
    </row>
    <row r="136" customFormat="false" ht="15" hidden="false" customHeight="false" outlineLevel="0" collapsed="false">
      <c r="R136" s="1" t="s">
        <v>307</v>
      </c>
      <c r="V136" s="55" t="s">
        <v>308</v>
      </c>
      <c r="X136" s="57" t="n">
        <v>3.8</v>
      </c>
      <c r="Y136" s="28" t="n">
        <v>24.52</v>
      </c>
      <c r="Z136" s="28" t="n">
        <f aca="false">X136*Y136</f>
        <v>93.176</v>
      </c>
    </row>
    <row r="137" customFormat="false" ht="15" hidden="false" customHeight="false" outlineLevel="0" collapsed="false">
      <c r="R137" s="1" t="s">
        <v>656</v>
      </c>
      <c r="V137" s="55" t="s">
        <v>204</v>
      </c>
      <c r="X137" s="57" t="n">
        <v>0.08</v>
      </c>
      <c r="Y137" s="1" t="n">
        <v>6.14</v>
      </c>
      <c r="Z137" s="28" t="n">
        <f aca="false">X137*Y137</f>
        <v>0.4912</v>
      </c>
    </row>
    <row r="138" customFormat="false" ht="15" hidden="false" customHeight="false" outlineLevel="0" collapsed="false">
      <c r="R138" s="1" t="s">
        <v>666</v>
      </c>
      <c r="V138" s="55" t="s">
        <v>440</v>
      </c>
      <c r="X138" s="57" t="n">
        <v>0.5</v>
      </c>
      <c r="Y138" s="1" t="n">
        <v>13.93</v>
      </c>
      <c r="Z138" s="28" t="n">
        <f aca="false">X138*Y138</f>
        <v>6.965</v>
      </c>
    </row>
    <row r="139" customFormat="false" ht="15" hidden="false" customHeight="false" outlineLevel="0" collapsed="false">
      <c r="R139" s="1" t="s">
        <v>303</v>
      </c>
      <c r="V139" s="55" t="s">
        <v>204</v>
      </c>
      <c r="X139" s="57" t="n">
        <v>0.93</v>
      </c>
      <c r="Y139" s="88" t="n">
        <v>70.92</v>
      </c>
      <c r="Z139" s="28" t="n">
        <f aca="false">X139*Y139</f>
        <v>65.9556</v>
      </c>
    </row>
    <row r="140" customFormat="false" ht="15" hidden="false" customHeight="false" outlineLevel="0" collapsed="false">
      <c r="R140" s="1" t="s">
        <v>667</v>
      </c>
      <c r="V140" s="55" t="s">
        <v>204</v>
      </c>
      <c r="X140" s="57" t="n">
        <v>0.4</v>
      </c>
      <c r="Y140" s="88" t="n">
        <v>80</v>
      </c>
      <c r="Z140" s="28" t="n">
        <f aca="false">X140*Y140</f>
        <v>32</v>
      </c>
    </row>
    <row r="141" customFormat="false" ht="15" hidden="false" customHeight="false" outlineLevel="0" collapsed="false">
      <c r="V141" s="55"/>
      <c r="X141" s="57"/>
      <c r="Y141" s="28"/>
      <c r="Z141" s="86" t="n">
        <f aca="false">SUM(Z136:Z140)</f>
        <v>198.5878</v>
      </c>
    </row>
    <row r="142" customFormat="false" ht="15" hidden="false" customHeight="false" outlineLevel="0" collapsed="false">
      <c r="R142" s="87" t="s">
        <v>310</v>
      </c>
    </row>
    <row r="143" customFormat="false" ht="15" hidden="false" customHeight="false" outlineLevel="0" collapsed="false">
      <c r="R143" s="1" t="s">
        <v>311</v>
      </c>
      <c r="V143" s="55" t="s">
        <v>312</v>
      </c>
      <c r="X143" s="57" t="n">
        <v>3</v>
      </c>
      <c r="Y143" s="28" t="n">
        <f aca="false">Z134</f>
        <v>34.61648</v>
      </c>
      <c r="Z143" s="28" t="n">
        <f aca="false">X143%*Y143</f>
        <v>1.0384944</v>
      </c>
    </row>
    <row r="144" customFormat="false" ht="15" hidden="false" customHeight="false" outlineLevel="0" collapsed="false">
      <c r="R144" s="1" t="s">
        <v>668</v>
      </c>
      <c r="V144" s="55" t="s">
        <v>338</v>
      </c>
      <c r="W144" s="56" t="n">
        <v>1</v>
      </c>
      <c r="X144" s="57" t="n">
        <f aca="false">W144*8/$T$126</f>
        <v>0.16</v>
      </c>
      <c r="Y144" s="28" t="n">
        <v>25.63</v>
      </c>
      <c r="Z144" s="28" t="n">
        <f aca="false">X144*Y144</f>
        <v>4.1008</v>
      </c>
    </row>
    <row r="145" customFormat="false" ht="15" hidden="false" customHeight="false" outlineLevel="0" collapsed="false">
      <c r="Q145" s="60"/>
      <c r="R145" s="60"/>
      <c r="S145" s="60"/>
      <c r="T145" s="60"/>
      <c r="U145" s="60"/>
      <c r="V145" s="60"/>
      <c r="W145" s="60"/>
      <c r="X145" s="60"/>
      <c r="Y145" s="60"/>
      <c r="Z145" s="89" t="n">
        <f aca="false">SUM(Z143:Z144)</f>
        <v>5.1392944</v>
      </c>
    </row>
    <row r="151" customFormat="false" ht="15" hidden="false" customHeight="false" outlineLevel="0" collapsed="false">
      <c r="Q151" s="82" t="s">
        <v>278</v>
      </c>
      <c r="R151" s="82"/>
      <c r="S151" s="82" t="s">
        <v>669</v>
      </c>
      <c r="T151" s="82"/>
    </row>
    <row r="152" customFormat="false" ht="15" hidden="false" customHeight="false" outlineLevel="0" collapsed="false">
      <c r="Q152" s="82" t="s">
        <v>279</v>
      </c>
      <c r="R152" s="82" t="s">
        <v>280</v>
      </c>
      <c r="S152" s="84" t="s">
        <v>281</v>
      </c>
      <c r="T152" s="85" t="n">
        <v>110</v>
      </c>
      <c r="U152" s="84" t="s">
        <v>282</v>
      </c>
      <c r="V152" s="85" t="n">
        <f aca="false">T152</f>
        <v>110</v>
      </c>
      <c r="W152" s="82" t="s">
        <v>283</v>
      </c>
      <c r="Y152" s="84" t="s">
        <v>134</v>
      </c>
      <c r="Z152" s="86" t="n">
        <f aca="false">Z158+Z164+Z168</f>
        <v>39.6208818181818</v>
      </c>
    </row>
    <row r="153" customFormat="false" ht="15" hidden="false" customHeight="false" outlineLevel="0" collapsed="false">
      <c r="Q153" s="82" t="s">
        <v>284</v>
      </c>
      <c r="R153" s="82" t="s">
        <v>285</v>
      </c>
      <c r="V153" s="84" t="s">
        <v>123</v>
      </c>
      <c r="W153" s="84" t="s">
        <v>286</v>
      </c>
      <c r="X153" s="84" t="s">
        <v>287</v>
      </c>
      <c r="Y153" s="84" t="s">
        <v>288</v>
      </c>
      <c r="Z153" s="84" t="s">
        <v>289</v>
      </c>
    </row>
    <row r="154" customFormat="false" ht="15" hidden="false" customHeight="false" outlineLevel="0" collapsed="false">
      <c r="R154" s="87" t="s">
        <v>290</v>
      </c>
    </row>
    <row r="155" customFormat="false" ht="15" hidden="false" customHeight="false" outlineLevel="0" collapsed="false">
      <c r="R155" s="1" t="s">
        <v>291</v>
      </c>
      <c r="V155" s="55" t="s">
        <v>292</v>
      </c>
      <c r="W155" s="56" t="n">
        <v>2</v>
      </c>
      <c r="X155" s="57" t="n">
        <f aca="false">W155*8/$T$152</f>
        <v>0.145454545454545</v>
      </c>
      <c r="Y155" s="28" t="n">
        <v>28.94</v>
      </c>
      <c r="Z155" s="28" t="n">
        <f aca="false">X155*Y155</f>
        <v>4.20945454545455</v>
      </c>
    </row>
    <row r="156" customFormat="false" ht="15" hidden="false" customHeight="false" outlineLevel="0" collapsed="false">
      <c r="R156" s="1" t="s">
        <v>293</v>
      </c>
      <c r="V156" s="55" t="s">
        <v>292</v>
      </c>
      <c r="W156" s="56" t="n">
        <v>1</v>
      </c>
      <c r="X156" s="57" t="n">
        <f aca="false">W156*8/$T$152</f>
        <v>0.0727272727272727</v>
      </c>
      <c r="Y156" s="28" t="n">
        <v>23.6</v>
      </c>
      <c r="Z156" s="28" t="n">
        <f aca="false">X156*Y156</f>
        <v>1.71636363636364</v>
      </c>
    </row>
    <row r="157" customFormat="false" ht="15" hidden="false" customHeight="false" outlineLevel="0" collapsed="false">
      <c r="R157" s="1" t="s">
        <v>294</v>
      </c>
      <c r="V157" s="55" t="s">
        <v>292</v>
      </c>
      <c r="W157" s="56" t="n">
        <v>6</v>
      </c>
      <c r="X157" s="57" t="n">
        <f aca="false">W157*8/$T$152</f>
        <v>0.436363636363636</v>
      </c>
      <c r="Y157" s="28" t="n">
        <v>21.36</v>
      </c>
      <c r="Z157" s="28" t="n">
        <f aca="false">X157*Y157</f>
        <v>9.32072727272727</v>
      </c>
    </row>
    <row r="158" customFormat="false" ht="15" hidden="false" customHeight="false" outlineLevel="0" collapsed="false">
      <c r="V158" s="55"/>
      <c r="W158" s="56"/>
      <c r="X158" s="57"/>
      <c r="Z158" s="86" t="n">
        <f aca="false">SUM(Z155:Z157)</f>
        <v>15.2465454545455</v>
      </c>
    </row>
    <row r="159" customFormat="false" ht="15" hidden="false" customHeight="false" outlineLevel="0" collapsed="false">
      <c r="R159" s="87" t="s">
        <v>654</v>
      </c>
      <c r="V159" s="55"/>
      <c r="W159" s="56"/>
      <c r="X159" s="57"/>
      <c r="Z159" s="28"/>
    </row>
    <row r="160" customFormat="false" ht="15" hidden="false" customHeight="false" outlineLevel="0" collapsed="false">
      <c r="R160" s="1" t="s">
        <v>307</v>
      </c>
      <c r="V160" s="55" t="s">
        <v>308</v>
      </c>
      <c r="X160" s="57" t="n">
        <v>0.42</v>
      </c>
      <c r="Y160" s="28" t="n">
        <v>24.52</v>
      </c>
      <c r="Z160" s="28" t="n">
        <f aca="false">X160*Y160</f>
        <v>10.2984</v>
      </c>
    </row>
    <row r="161" customFormat="false" ht="15" hidden="false" customHeight="false" outlineLevel="0" collapsed="false">
      <c r="R161" s="1" t="s">
        <v>656</v>
      </c>
      <c r="V161" s="55" t="s">
        <v>204</v>
      </c>
      <c r="X161" s="57" t="n">
        <v>0.025</v>
      </c>
      <c r="Y161" s="1" t="n">
        <v>6.14</v>
      </c>
      <c r="Z161" s="28" t="n">
        <f aca="false">X161*Y161</f>
        <v>0.1535</v>
      </c>
    </row>
    <row r="162" customFormat="false" ht="15" hidden="false" customHeight="false" outlineLevel="0" collapsed="false">
      <c r="R162" s="1" t="s">
        <v>303</v>
      </c>
      <c r="V162" s="55" t="s">
        <v>204</v>
      </c>
      <c r="X162" s="57" t="n">
        <v>0.162</v>
      </c>
      <c r="Y162" s="88" t="n">
        <v>70.92</v>
      </c>
      <c r="Z162" s="28" t="n">
        <f aca="false">X162*Y162</f>
        <v>11.48904</v>
      </c>
    </row>
    <row r="163" customFormat="false" ht="15" hidden="false" customHeight="false" outlineLevel="0" collapsed="false">
      <c r="R163" s="1" t="s">
        <v>670</v>
      </c>
      <c r="V163" s="55" t="s">
        <v>306</v>
      </c>
      <c r="X163" s="57" t="n">
        <v>0.18</v>
      </c>
      <c r="Y163" s="28" t="n">
        <v>5.8</v>
      </c>
      <c r="Z163" s="28" t="n">
        <f aca="false">X163*Y163</f>
        <v>1.044</v>
      </c>
    </row>
    <row r="164" customFormat="false" ht="15" hidden="false" customHeight="false" outlineLevel="0" collapsed="false">
      <c r="V164" s="55"/>
      <c r="X164" s="57"/>
      <c r="Y164" s="28"/>
      <c r="Z164" s="86" t="n">
        <f aca="false">SUM(Z160:Z163)</f>
        <v>22.98494</v>
      </c>
    </row>
    <row r="165" customFormat="false" ht="15" hidden="false" customHeight="false" outlineLevel="0" collapsed="false">
      <c r="R165" s="87" t="s">
        <v>310</v>
      </c>
    </row>
    <row r="166" customFormat="false" ht="15" hidden="false" customHeight="false" outlineLevel="0" collapsed="false">
      <c r="R166" s="1" t="s">
        <v>311</v>
      </c>
      <c r="V166" s="55" t="s">
        <v>312</v>
      </c>
      <c r="X166" s="57" t="n">
        <v>3</v>
      </c>
      <c r="Y166" s="28" t="n">
        <f aca="false">Z158</f>
        <v>15.2465454545455</v>
      </c>
      <c r="Z166" s="28" t="n">
        <f aca="false">X166%*Y166</f>
        <v>0.457396363636364</v>
      </c>
    </row>
    <row r="167" customFormat="false" ht="15" hidden="false" customHeight="false" outlineLevel="0" collapsed="false">
      <c r="R167" s="1" t="s">
        <v>668</v>
      </c>
      <c r="V167" s="55" t="s">
        <v>338</v>
      </c>
      <c r="W167" s="56" t="n">
        <v>0.5</v>
      </c>
      <c r="X167" s="57" t="n">
        <f aca="false">W167*8/$T$152</f>
        <v>0.0363636363636364</v>
      </c>
      <c r="Y167" s="28" t="n">
        <v>25.63</v>
      </c>
      <c r="Z167" s="28" t="n">
        <f aca="false">X167*Y167</f>
        <v>0.932</v>
      </c>
    </row>
    <row r="168" customFormat="false" ht="15" hidden="false" customHeight="false" outlineLevel="0" collapsed="false">
      <c r="Q168" s="60"/>
      <c r="R168" s="60"/>
      <c r="S168" s="60"/>
      <c r="T168" s="60"/>
      <c r="U168" s="60"/>
      <c r="V168" s="60"/>
      <c r="W168" s="60"/>
      <c r="X168" s="60"/>
      <c r="Y168" s="60"/>
      <c r="Z168" s="89" t="n">
        <f aca="false">SUM(Z166:Z167)</f>
        <v>1.38939636363636</v>
      </c>
    </row>
    <row r="170" customFormat="false" ht="15" hidden="false" customHeight="false" outlineLevel="0" collapsed="false">
      <c r="Q170" s="82" t="s">
        <v>278</v>
      </c>
      <c r="R170" s="82"/>
      <c r="S170" s="82" t="s">
        <v>671</v>
      </c>
      <c r="T170" s="82"/>
    </row>
    <row r="171" customFormat="false" ht="15" hidden="false" customHeight="false" outlineLevel="0" collapsed="false">
      <c r="Q171" s="82" t="s">
        <v>279</v>
      </c>
      <c r="R171" s="82" t="s">
        <v>280</v>
      </c>
      <c r="S171" s="84" t="s">
        <v>281</v>
      </c>
      <c r="T171" s="85" t="n">
        <v>120</v>
      </c>
      <c r="U171" s="84" t="s">
        <v>282</v>
      </c>
      <c r="V171" s="85" t="n">
        <f aca="false">T171</f>
        <v>120</v>
      </c>
      <c r="W171" s="82" t="s">
        <v>283</v>
      </c>
      <c r="Y171" s="84" t="s">
        <v>134</v>
      </c>
      <c r="Z171" s="86" t="n">
        <f aca="false">Z177+Z183+Z187</f>
        <v>27.126394</v>
      </c>
    </row>
    <row r="172" customFormat="false" ht="15" hidden="false" customHeight="false" outlineLevel="0" collapsed="false">
      <c r="Q172" s="82" t="s">
        <v>284</v>
      </c>
      <c r="R172" s="82" t="s">
        <v>285</v>
      </c>
      <c r="V172" s="84" t="s">
        <v>123</v>
      </c>
      <c r="W172" s="84" t="s">
        <v>286</v>
      </c>
      <c r="X172" s="84" t="s">
        <v>287</v>
      </c>
      <c r="Y172" s="84" t="s">
        <v>288</v>
      </c>
      <c r="Z172" s="84" t="s">
        <v>289</v>
      </c>
    </row>
    <row r="173" customFormat="false" ht="15" hidden="false" customHeight="false" outlineLevel="0" collapsed="false">
      <c r="R173" s="87" t="s">
        <v>290</v>
      </c>
    </row>
    <row r="174" customFormat="false" ht="15" hidden="false" customHeight="false" outlineLevel="0" collapsed="false">
      <c r="R174" s="1" t="s">
        <v>291</v>
      </c>
      <c r="V174" s="55" t="s">
        <v>292</v>
      </c>
      <c r="W174" s="56" t="n">
        <v>2</v>
      </c>
      <c r="X174" s="57" t="n">
        <f aca="false">W174*8/$T$171</f>
        <v>0.133333333333333</v>
      </c>
      <c r="Y174" s="28" t="n">
        <v>28.94</v>
      </c>
      <c r="Z174" s="28" t="n">
        <f aca="false">X174*Y174</f>
        <v>3.85866666666667</v>
      </c>
    </row>
    <row r="175" customFormat="false" ht="15" hidden="false" customHeight="false" outlineLevel="0" collapsed="false">
      <c r="R175" s="1" t="s">
        <v>293</v>
      </c>
      <c r="V175" s="55" t="s">
        <v>292</v>
      </c>
      <c r="W175" s="56" t="n">
        <v>2</v>
      </c>
      <c r="X175" s="57" t="n">
        <f aca="false">W175*8/$T$171</f>
        <v>0.133333333333333</v>
      </c>
      <c r="Y175" s="28" t="n">
        <v>23.6</v>
      </c>
      <c r="Z175" s="28" t="n">
        <f aca="false">X175*Y175</f>
        <v>3.14666666666667</v>
      </c>
    </row>
    <row r="176" customFormat="false" ht="15" hidden="false" customHeight="false" outlineLevel="0" collapsed="false">
      <c r="R176" s="1" t="s">
        <v>294</v>
      </c>
      <c r="V176" s="55" t="s">
        <v>292</v>
      </c>
      <c r="W176" s="56" t="n">
        <v>6</v>
      </c>
      <c r="X176" s="57" t="n">
        <f aca="false">W176*8/$T$171</f>
        <v>0.4</v>
      </c>
      <c r="Y176" s="28" t="n">
        <v>21.36</v>
      </c>
      <c r="Z176" s="28" t="n">
        <f aca="false">X176*Y176</f>
        <v>8.544</v>
      </c>
    </row>
    <row r="177" customFormat="false" ht="15" hidden="false" customHeight="false" outlineLevel="0" collapsed="false">
      <c r="V177" s="55"/>
      <c r="W177" s="56"/>
      <c r="X177" s="57"/>
      <c r="Z177" s="86" t="n">
        <f aca="false">SUM(Z174:Z176)</f>
        <v>15.5493333333333</v>
      </c>
    </row>
    <row r="178" customFormat="false" ht="15" hidden="false" customHeight="false" outlineLevel="0" collapsed="false">
      <c r="R178" s="87" t="s">
        <v>654</v>
      </c>
      <c r="V178" s="55"/>
      <c r="W178" s="56"/>
      <c r="X178" s="57"/>
      <c r="Z178" s="28"/>
    </row>
    <row r="179" customFormat="false" ht="15" hidden="false" customHeight="false" outlineLevel="0" collapsed="false">
      <c r="R179" s="1" t="s">
        <v>307</v>
      </c>
      <c r="V179" s="55" t="s">
        <v>308</v>
      </c>
      <c r="X179" s="57" t="n">
        <v>0.19</v>
      </c>
      <c r="Y179" s="28" t="n">
        <v>24.52</v>
      </c>
      <c r="Z179" s="28" t="n">
        <f aca="false">X179*Y179</f>
        <v>4.6588</v>
      </c>
    </row>
    <row r="180" customFormat="false" ht="15" hidden="false" customHeight="false" outlineLevel="0" collapsed="false">
      <c r="R180" s="1" t="s">
        <v>656</v>
      </c>
      <c r="V180" s="55" t="s">
        <v>204</v>
      </c>
      <c r="X180" s="57" t="n">
        <v>0.0081</v>
      </c>
      <c r="Y180" s="1" t="n">
        <v>6.14</v>
      </c>
      <c r="Z180" s="28" t="n">
        <f aca="false">X180*Y180</f>
        <v>0.049734</v>
      </c>
    </row>
    <row r="181" customFormat="false" ht="15" hidden="false" customHeight="false" outlineLevel="0" collapsed="false">
      <c r="R181" s="1" t="s">
        <v>666</v>
      </c>
      <c r="V181" s="55" t="s">
        <v>440</v>
      </c>
      <c r="X181" s="57" t="n">
        <v>0.006</v>
      </c>
      <c r="Y181" s="1" t="n">
        <v>13.93</v>
      </c>
      <c r="Z181" s="28" t="n">
        <f aca="false">X181*Y181</f>
        <v>0.08358</v>
      </c>
    </row>
    <row r="182" customFormat="false" ht="15" hidden="false" customHeight="false" outlineLevel="0" collapsed="false">
      <c r="R182" s="1" t="s">
        <v>303</v>
      </c>
      <c r="V182" s="55" t="s">
        <v>204</v>
      </c>
      <c r="X182" s="57" t="n">
        <v>0.065</v>
      </c>
      <c r="Y182" s="88" t="n">
        <v>70.92</v>
      </c>
      <c r="Z182" s="28" t="n">
        <f aca="false">X182*Y182</f>
        <v>4.6098</v>
      </c>
    </row>
    <row r="183" customFormat="false" ht="15" hidden="false" customHeight="false" outlineLevel="0" collapsed="false">
      <c r="V183" s="55"/>
      <c r="X183" s="57"/>
      <c r="Y183" s="28"/>
      <c r="Z183" s="86" t="n">
        <f aca="false">SUM(Z179:Z182)</f>
        <v>9.401914</v>
      </c>
    </row>
    <row r="184" customFormat="false" ht="15" hidden="false" customHeight="false" outlineLevel="0" collapsed="false">
      <c r="R184" s="87" t="s">
        <v>310</v>
      </c>
    </row>
    <row r="185" customFormat="false" ht="15" hidden="false" customHeight="false" outlineLevel="0" collapsed="false">
      <c r="R185" s="1" t="s">
        <v>311</v>
      </c>
      <c r="V185" s="55" t="s">
        <v>312</v>
      </c>
      <c r="X185" s="57" t="n">
        <v>3</v>
      </c>
      <c r="Y185" s="28" t="n">
        <f aca="false">Z177</f>
        <v>15.5493333333333</v>
      </c>
      <c r="Z185" s="28" t="n">
        <f aca="false">X185%*Y185</f>
        <v>0.46648</v>
      </c>
    </row>
    <row r="186" customFormat="false" ht="15" hidden="false" customHeight="false" outlineLevel="0" collapsed="false">
      <c r="R186" s="1" t="s">
        <v>668</v>
      </c>
      <c r="V186" s="55" t="s">
        <v>338</v>
      </c>
      <c r="W186" s="56" t="n">
        <v>1</v>
      </c>
      <c r="X186" s="57" t="n">
        <f aca="false">W186*8/$T$171</f>
        <v>0.0666666666666667</v>
      </c>
      <c r="Y186" s="28" t="n">
        <v>25.63</v>
      </c>
      <c r="Z186" s="28" t="n">
        <f aca="false">X186*Y186</f>
        <v>1.70866666666667</v>
      </c>
    </row>
    <row r="187" customFormat="false" ht="15" hidden="false" customHeight="false" outlineLevel="0" collapsed="false">
      <c r="Q187" s="60"/>
      <c r="R187" s="60"/>
      <c r="S187" s="60"/>
      <c r="T187" s="60"/>
      <c r="U187" s="60"/>
      <c r="V187" s="60"/>
      <c r="W187" s="60"/>
      <c r="X187" s="60"/>
      <c r="Y187" s="60"/>
      <c r="Z187" s="89" t="n">
        <f aca="false">SUM(Z185:Z186)</f>
        <v>2.17514666666667</v>
      </c>
    </row>
    <row r="189" customFormat="false" ht="15" hidden="false" customHeight="false" outlineLevel="0" collapsed="false">
      <c r="Q189" s="82" t="s">
        <v>278</v>
      </c>
      <c r="R189" s="82"/>
      <c r="S189" s="82" t="s">
        <v>497</v>
      </c>
      <c r="T189" s="82"/>
    </row>
    <row r="190" customFormat="false" ht="15" hidden="false" customHeight="false" outlineLevel="0" collapsed="false">
      <c r="Q190" s="82" t="s">
        <v>279</v>
      </c>
      <c r="R190" s="82" t="s">
        <v>417</v>
      </c>
      <c r="S190" s="84" t="s">
        <v>281</v>
      </c>
      <c r="T190" s="85" t="n">
        <v>25</v>
      </c>
      <c r="U190" s="84" t="s">
        <v>282</v>
      </c>
      <c r="V190" s="85" t="n">
        <f aca="false">T190</f>
        <v>25</v>
      </c>
      <c r="W190" s="82" t="s">
        <v>283</v>
      </c>
      <c r="Y190" s="84" t="s">
        <v>204</v>
      </c>
      <c r="Z190" s="86" t="n">
        <f aca="false">Z196+Z204+Z209</f>
        <v>426.397544</v>
      </c>
    </row>
    <row r="191" customFormat="false" ht="15" hidden="false" customHeight="false" outlineLevel="0" collapsed="false">
      <c r="Q191" s="82" t="s">
        <v>284</v>
      </c>
      <c r="R191" s="82" t="s">
        <v>285</v>
      </c>
      <c r="V191" s="84" t="s">
        <v>123</v>
      </c>
      <c r="W191" s="84" t="s">
        <v>286</v>
      </c>
      <c r="X191" s="84" t="s">
        <v>287</v>
      </c>
      <c r="Y191" s="84" t="s">
        <v>288</v>
      </c>
      <c r="Z191" s="84" t="s">
        <v>289</v>
      </c>
    </row>
    <row r="192" customFormat="false" ht="15" hidden="false" customHeight="false" outlineLevel="0" collapsed="false">
      <c r="R192" s="87" t="s">
        <v>290</v>
      </c>
    </row>
    <row r="193" customFormat="false" ht="15" hidden="false" customHeight="false" outlineLevel="0" collapsed="false">
      <c r="R193" s="1" t="s">
        <v>291</v>
      </c>
      <c r="V193" s="55" t="s">
        <v>292</v>
      </c>
      <c r="W193" s="56" t="n">
        <v>2</v>
      </c>
      <c r="X193" s="57" t="n">
        <f aca="false">W193*8/$T$190</f>
        <v>0.64</v>
      </c>
      <c r="Y193" s="28" t="n">
        <v>28.94</v>
      </c>
      <c r="Z193" s="28" t="n">
        <f aca="false">X193*Y193</f>
        <v>18.5216</v>
      </c>
    </row>
    <row r="194" customFormat="false" ht="15" hidden="false" customHeight="false" outlineLevel="0" collapsed="false">
      <c r="R194" s="1" t="s">
        <v>293</v>
      </c>
      <c r="V194" s="55" t="s">
        <v>292</v>
      </c>
      <c r="W194" s="56" t="n">
        <v>2</v>
      </c>
      <c r="X194" s="57" t="n">
        <f aca="false">W194*8/$T$190</f>
        <v>0.64</v>
      </c>
      <c r="Y194" s="28" t="n">
        <v>23.6</v>
      </c>
      <c r="Z194" s="28" t="n">
        <f aca="false">X194*Y194</f>
        <v>15.104</v>
      </c>
    </row>
    <row r="195" customFormat="false" ht="15" hidden="false" customHeight="false" outlineLevel="0" collapsed="false">
      <c r="R195" s="1" t="s">
        <v>294</v>
      </c>
      <c r="V195" s="55" t="s">
        <v>292</v>
      </c>
      <c r="W195" s="56" t="n">
        <v>6</v>
      </c>
      <c r="X195" s="57" t="n">
        <f aca="false">W195*8/$T$190</f>
        <v>1.92</v>
      </c>
      <c r="Y195" s="28" t="n">
        <v>21.36</v>
      </c>
      <c r="Z195" s="28" t="n">
        <f aca="false">X195*Y195</f>
        <v>41.0112</v>
      </c>
    </row>
    <row r="196" customFormat="false" ht="15" hidden="false" customHeight="false" outlineLevel="0" collapsed="false">
      <c r="V196" s="55"/>
      <c r="W196" s="56"/>
      <c r="X196" s="57"/>
      <c r="Z196" s="86" t="n">
        <f aca="false">SUM(Z193:Z195)</f>
        <v>74.6368</v>
      </c>
    </row>
    <row r="197" customFormat="false" ht="15" hidden="false" customHeight="false" outlineLevel="0" collapsed="false">
      <c r="R197" s="87" t="s">
        <v>654</v>
      </c>
      <c r="V197" s="55"/>
      <c r="W197" s="56"/>
      <c r="X197" s="57"/>
      <c r="Z197" s="28"/>
    </row>
    <row r="198" customFormat="false" ht="15" hidden="false" customHeight="false" outlineLevel="0" collapsed="false">
      <c r="R198" s="1" t="s">
        <v>673</v>
      </c>
      <c r="V198" s="55" t="s">
        <v>204</v>
      </c>
      <c r="X198" s="57" t="n">
        <v>0.53</v>
      </c>
      <c r="Y198" s="28" t="n">
        <v>55.08</v>
      </c>
      <c r="Z198" s="28" t="n">
        <f aca="false">X198*Y198</f>
        <v>29.1924</v>
      </c>
    </row>
    <row r="199" customFormat="false" ht="15" hidden="false" customHeight="false" outlineLevel="0" collapsed="false">
      <c r="R199" s="1" t="s">
        <v>674</v>
      </c>
      <c r="V199" s="55" t="s">
        <v>204</v>
      </c>
      <c r="X199" s="57" t="n">
        <v>0.52</v>
      </c>
      <c r="Y199" s="28" t="n">
        <v>47</v>
      </c>
      <c r="Z199" s="28" t="n">
        <f aca="false">X199*Y199</f>
        <v>24.44</v>
      </c>
    </row>
    <row r="200" customFormat="false" ht="15" hidden="false" customHeight="false" outlineLevel="0" collapsed="false">
      <c r="R200" s="1" t="s">
        <v>307</v>
      </c>
      <c r="V200" s="55" t="s">
        <v>308</v>
      </c>
      <c r="X200" s="57" t="n">
        <v>9.73</v>
      </c>
      <c r="Y200" s="28" t="n">
        <v>24.52</v>
      </c>
      <c r="Z200" s="28" t="n">
        <f aca="false">X200*Y200</f>
        <v>238.5796</v>
      </c>
    </row>
    <row r="201" customFormat="false" ht="15" hidden="false" customHeight="false" outlineLevel="0" collapsed="false">
      <c r="R201" s="1" t="s">
        <v>656</v>
      </c>
      <c r="V201" s="55" t="s">
        <v>204</v>
      </c>
      <c r="X201" s="57" t="n">
        <v>0.186</v>
      </c>
      <c r="Y201" s="1" t="n">
        <v>6.14</v>
      </c>
      <c r="Z201" s="28" t="n">
        <f aca="false">X201*Y201</f>
        <v>1.14204</v>
      </c>
    </row>
    <row r="202" customFormat="false" ht="15" hidden="false" customHeight="false" outlineLevel="0" collapsed="false">
      <c r="R202" s="1" t="s">
        <v>666</v>
      </c>
      <c r="V202" s="55" t="s">
        <v>440</v>
      </c>
      <c r="X202" s="57" t="n">
        <v>0.36</v>
      </c>
      <c r="Y202" s="1" t="n">
        <v>13.93</v>
      </c>
      <c r="Z202" s="28" t="n">
        <f aca="false">X202*Y202</f>
        <v>5.0148</v>
      </c>
    </row>
    <row r="203" customFormat="false" ht="15" hidden="false" customHeight="false" outlineLevel="0" collapsed="false">
      <c r="R203" s="1" t="s">
        <v>675</v>
      </c>
      <c r="V203" s="55" t="s">
        <v>440</v>
      </c>
      <c r="X203" s="57" t="n">
        <v>1.5</v>
      </c>
      <c r="Y203" s="88" t="n">
        <v>27.88</v>
      </c>
      <c r="Z203" s="28" t="n">
        <f aca="false">X203*Y203</f>
        <v>41.82</v>
      </c>
    </row>
    <row r="204" customFormat="false" ht="15" hidden="false" customHeight="false" outlineLevel="0" collapsed="false">
      <c r="V204" s="55"/>
      <c r="X204" s="57"/>
      <c r="Y204" s="28"/>
      <c r="Z204" s="86" t="n">
        <f aca="false">SUM(Z198:Z203)</f>
        <v>340.18884</v>
      </c>
    </row>
    <row r="205" customFormat="false" ht="15" hidden="false" customHeight="false" outlineLevel="0" collapsed="false">
      <c r="R205" s="87" t="s">
        <v>310</v>
      </c>
    </row>
    <row r="206" customFormat="false" ht="15" hidden="false" customHeight="false" outlineLevel="0" collapsed="false">
      <c r="R206" s="1" t="s">
        <v>311</v>
      </c>
      <c r="V206" s="55" t="s">
        <v>312</v>
      </c>
      <c r="X206" s="57" t="n">
        <v>3</v>
      </c>
      <c r="Y206" s="28" t="n">
        <f aca="false">Z196</f>
        <v>74.6368</v>
      </c>
      <c r="Z206" s="28" t="n">
        <f aca="false">X206%*Y206</f>
        <v>2.239104</v>
      </c>
    </row>
    <row r="207" customFormat="false" ht="15" hidden="false" customHeight="false" outlineLevel="0" collapsed="false">
      <c r="R207" s="1" t="s">
        <v>668</v>
      </c>
      <c r="V207" s="55" t="s">
        <v>338</v>
      </c>
      <c r="W207" s="56" t="n">
        <v>1</v>
      </c>
      <c r="X207" s="57" t="n">
        <f aca="false">W207*8/$T$190</f>
        <v>0.32</v>
      </c>
      <c r="Y207" s="28" t="n">
        <v>25.63</v>
      </c>
      <c r="Z207" s="28" t="n">
        <f aca="false">X207*Y207</f>
        <v>8.2016</v>
      </c>
    </row>
    <row r="208" customFormat="false" ht="15" hidden="false" customHeight="false" outlineLevel="0" collapsed="false">
      <c r="R208" s="1" t="s">
        <v>676</v>
      </c>
      <c r="V208" s="55" t="s">
        <v>338</v>
      </c>
      <c r="W208" s="56" t="n">
        <v>0.5</v>
      </c>
      <c r="X208" s="57" t="n">
        <f aca="false">W208*8/$T$190</f>
        <v>0.16</v>
      </c>
      <c r="Y208" s="28" t="n">
        <v>7.07</v>
      </c>
      <c r="Z208" s="28" t="n">
        <f aca="false">X208*Y208</f>
        <v>1.1312</v>
      </c>
    </row>
    <row r="209" customFormat="false" ht="15" hidden="false" customHeight="false" outlineLevel="0" collapsed="false">
      <c r="Q209" s="60"/>
      <c r="R209" s="60"/>
      <c r="S209" s="60"/>
      <c r="T209" s="60"/>
      <c r="U209" s="60"/>
      <c r="V209" s="60"/>
      <c r="W209" s="60"/>
      <c r="X209" s="60"/>
      <c r="Y209" s="60"/>
      <c r="Z209" s="89" t="n">
        <f aca="false">SUM(Z206:Z208)</f>
        <v>11.571904</v>
      </c>
    </row>
    <row r="211" customFormat="false" ht="15" hidden="false" customHeight="false" outlineLevel="0" collapsed="false">
      <c r="Q211" s="82" t="s">
        <v>278</v>
      </c>
      <c r="R211" s="82"/>
      <c r="S211" s="82" t="s">
        <v>677</v>
      </c>
      <c r="T211" s="82"/>
    </row>
    <row r="212" customFormat="false" ht="15" hidden="false" customHeight="false" outlineLevel="0" collapsed="false">
      <c r="Q212" s="82" t="s">
        <v>279</v>
      </c>
      <c r="R212" s="82" t="s">
        <v>280</v>
      </c>
      <c r="S212" s="84" t="s">
        <v>281</v>
      </c>
      <c r="T212" s="85" t="n">
        <v>8</v>
      </c>
      <c r="U212" s="84" t="s">
        <v>282</v>
      </c>
      <c r="V212" s="85" t="n">
        <f aca="false">T212</f>
        <v>8</v>
      </c>
      <c r="W212" s="82" t="s">
        <v>283</v>
      </c>
      <c r="Y212" s="84" t="s">
        <v>134</v>
      </c>
      <c r="Z212" s="86" t="n">
        <f aca="false">Z217+Z222+Z225</f>
        <v>75.1142</v>
      </c>
    </row>
    <row r="213" customFormat="false" ht="15" hidden="false" customHeight="false" outlineLevel="0" collapsed="false">
      <c r="Q213" s="82" t="s">
        <v>284</v>
      </c>
      <c r="R213" s="82" t="s">
        <v>285</v>
      </c>
      <c r="V213" s="84" t="s">
        <v>123</v>
      </c>
      <c r="W213" s="84" t="s">
        <v>286</v>
      </c>
      <c r="X213" s="84" t="s">
        <v>287</v>
      </c>
      <c r="Y213" s="84" t="s">
        <v>288</v>
      </c>
      <c r="Z213" s="84" t="s">
        <v>289</v>
      </c>
    </row>
    <row r="214" customFormat="false" ht="15" hidden="false" customHeight="false" outlineLevel="0" collapsed="false">
      <c r="R214" s="87" t="s">
        <v>290</v>
      </c>
    </row>
    <row r="215" customFormat="false" ht="15" hidden="false" customHeight="false" outlineLevel="0" collapsed="false">
      <c r="R215" s="1" t="s">
        <v>291</v>
      </c>
      <c r="V215" s="55" t="s">
        <v>292</v>
      </c>
      <c r="W215" s="56" t="n">
        <v>1</v>
      </c>
      <c r="X215" s="57" t="n">
        <f aca="false">W215*8/$T$212</f>
        <v>1</v>
      </c>
      <c r="Y215" s="28" t="n">
        <v>28.94</v>
      </c>
      <c r="Z215" s="28" t="n">
        <f aca="false">X215*Y215</f>
        <v>28.94</v>
      </c>
    </row>
    <row r="216" customFormat="false" ht="15" hidden="false" customHeight="false" outlineLevel="0" collapsed="false">
      <c r="R216" s="1" t="s">
        <v>293</v>
      </c>
      <c r="V216" s="55" t="s">
        <v>292</v>
      </c>
      <c r="W216" s="56" t="n">
        <v>1</v>
      </c>
      <c r="X216" s="57" t="n">
        <f aca="false">W216*8/$T$212</f>
        <v>1</v>
      </c>
      <c r="Y216" s="28" t="n">
        <v>23.6</v>
      </c>
      <c r="Z216" s="28" t="n">
        <f aca="false">X216*Y216</f>
        <v>23.6</v>
      </c>
    </row>
    <row r="217" customFormat="false" ht="15" hidden="false" customHeight="false" outlineLevel="0" collapsed="false">
      <c r="V217" s="55"/>
      <c r="W217" s="56"/>
      <c r="X217" s="57"/>
      <c r="Z217" s="86" t="n">
        <f aca="false">SUM(Z215:Z216)</f>
        <v>52.54</v>
      </c>
    </row>
    <row r="218" customFormat="false" ht="15" hidden="false" customHeight="false" outlineLevel="0" collapsed="false">
      <c r="R218" s="87" t="s">
        <v>654</v>
      </c>
      <c r="V218" s="55"/>
      <c r="W218" s="56"/>
      <c r="X218" s="57"/>
      <c r="Z218" s="28"/>
    </row>
    <row r="219" customFormat="false" ht="15" hidden="false" customHeight="false" outlineLevel="0" collapsed="false">
      <c r="R219" s="1" t="s">
        <v>678</v>
      </c>
      <c r="V219" s="55" t="s">
        <v>297</v>
      </c>
      <c r="X219" s="57" t="n">
        <v>0.26</v>
      </c>
      <c r="Y219" s="28" t="n">
        <v>2.64</v>
      </c>
      <c r="Z219" s="28" t="n">
        <f aca="false">X219*Y219</f>
        <v>0.6864</v>
      </c>
    </row>
    <row r="220" customFormat="false" ht="15" hidden="false" customHeight="false" outlineLevel="0" collapsed="false">
      <c r="R220" s="1" t="s">
        <v>302</v>
      </c>
      <c r="V220" s="55" t="s">
        <v>297</v>
      </c>
      <c r="X220" s="57" t="n">
        <v>0.16</v>
      </c>
      <c r="Y220" s="28" t="n">
        <v>5.51</v>
      </c>
      <c r="Z220" s="28" t="n">
        <f aca="false">X220*Y220</f>
        <v>0.8816</v>
      </c>
    </row>
    <row r="221" customFormat="false" ht="15" hidden="false" customHeight="false" outlineLevel="0" collapsed="false">
      <c r="R221" s="1" t="s">
        <v>670</v>
      </c>
      <c r="V221" s="55" t="s">
        <v>306</v>
      </c>
      <c r="X221" s="57" t="n">
        <v>3.35</v>
      </c>
      <c r="Y221" s="28" t="n">
        <v>5.8</v>
      </c>
      <c r="Z221" s="28" t="n">
        <f aca="false">X221*Y221</f>
        <v>19.43</v>
      </c>
    </row>
    <row r="222" customFormat="false" ht="15" hidden="false" customHeight="false" outlineLevel="0" collapsed="false">
      <c r="V222" s="55"/>
      <c r="X222" s="57"/>
      <c r="Y222" s="28"/>
      <c r="Z222" s="86" t="n">
        <f aca="false">SUM(Z219:Z221)</f>
        <v>20.998</v>
      </c>
    </row>
    <row r="223" customFormat="false" ht="15" hidden="false" customHeight="false" outlineLevel="0" collapsed="false">
      <c r="R223" s="87" t="s">
        <v>310</v>
      </c>
    </row>
    <row r="224" customFormat="false" ht="15" hidden="false" customHeight="false" outlineLevel="0" collapsed="false">
      <c r="R224" s="1" t="s">
        <v>311</v>
      </c>
      <c r="V224" s="55" t="s">
        <v>312</v>
      </c>
      <c r="X224" s="57" t="n">
        <v>3</v>
      </c>
      <c r="Y224" s="28" t="n">
        <f aca="false">Z217</f>
        <v>52.54</v>
      </c>
      <c r="Z224" s="28" t="n">
        <f aca="false">X224%*Y224</f>
        <v>1.5762</v>
      </c>
    </row>
    <row r="225" customFormat="false" ht="15" hidden="false" customHeight="false" outlineLevel="0" collapsed="false">
      <c r="Q225" s="60"/>
      <c r="R225" s="60"/>
      <c r="S225" s="60"/>
      <c r="T225" s="60"/>
      <c r="U225" s="60"/>
      <c r="V225" s="60"/>
      <c r="W225" s="60"/>
      <c r="X225" s="60"/>
      <c r="Y225" s="60"/>
      <c r="Z225" s="89" t="n">
        <f aca="false">SUM(Z224)</f>
        <v>1.5762</v>
      </c>
    </row>
    <row r="228" customFormat="false" ht="15" hidden="false" customHeight="false" outlineLevel="0" collapsed="false">
      <c r="Q228" s="82" t="s">
        <v>278</v>
      </c>
      <c r="R228" s="82"/>
      <c r="S228" s="82" t="s">
        <v>499</v>
      </c>
      <c r="T228" s="82"/>
    </row>
    <row r="229" customFormat="false" ht="15" hidden="false" customHeight="false" outlineLevel="0" collapsed="false">
      <c r="Q229" s="82" t="s">
        <v>279</v>
      </c>
      <c r="R229" s="82" t="s">
        <v>679</v>
      </c>
      <c r="S229" s="84" t="s">
        <v>281</v>
      </c>
      <c r="T229" s="85" t="n">
        <v>250</v>
      </c>
      <c r="U229" s="84" t="s">
        <v>282</v>
      </c>
      <c r="V229" s="85" t="n">
        <f aca="false">T229</f>
        <v>250</v>
      </c>
      <c r="W229" s="82" t="s">
        <v>283</v>
      </c>
      <c r="Y229" s="84" t="s">
        <v>297</v>
      </c>
      <c r="Z229" s="86" t="n">
        <f aca="false">Z234+Z238+Z242</f>
        <v>5.5639628445</v>
      </c>
    </row>
    <row r="230" customFormat="false" ht="15" hidden="false" customHeight="false" outlineLevel="0" collapsed="false">
      <c r="Q230" s="82" t="s">
        <v>284</v>
      </c>
      <c r="R230" s="82" t="s">
        <v>285</v>
      </c>
      <c r="V230" s="84" t="s">
        <v>123</v>
      </c>
      <c r="W230" s="84" t="s">
        <v>286</v>
      </c>
      <c r="X230" s="84" t="s">
        <v>287</v>
      </c>
      <c r="Y230" s="84" t="s">
        <v>288</v>
      </c>
      <c r="Z230" s="84" t="s">
        <v>289</v>
      </c>
    </row>
    <row r="231" customFormat="false" ht="15" hidden="false" customHeight="false" outlineLevel="0" collapsed="false">
      <c r="R231" s="87" t="s">
        <v>290</v>
      </c>
      <c r="W231" s="56"/>
    </row>
    <row r="232" customFormat="false" ht="15" hidden="false" customHeight="false" outlineLevel="0" collapsed="false">
      <c r="R232" s="1" t="s">
        <v>291</v>
      </c>
      <c r="V232" s="55" t="s">
        <v>292</v>
      </c>
      <c r="W232" s="56" t="n">
        <v>1</v>
      </c>
      <c r="X232" s="99" t="n">
        <f aca="false">W232*8/$T$229</f>
        <v>0.032</v>
      </c>
      <c r="Y232" s="28" t="n">
        <v>28.94</v>
      </c>
      <c r="Z232" s="28" t="n">
        <f aca="false">X232*Y232</f>
        <v>0.92608</v>
      </c>
    </row>
    <row r="233" customFormat="false" ht="15" hidden="false" customHeight="false" outlineLevel="0" collapsed="false">
      <c r="R233" s="1" t="s">
        <v>680</v>
      </c>
      <c r="V233" s="55" t="s">
        <v>292</v>
      </c>
      <c r="W233" s="56" t="n">
        <v>1</v>
      </c>
      <c r="X233" s="99" t="n">
        <f aca="false">W233*8/$T$229</f>
        <v>0.032</v>
      </c>
      <c r="Y233" s="28" t="n">
        <v>23.6</v>
      </c>
      <c r="Z233" s="28" t="n">
        <f aca="false">X233*Y233</f>
        <v>0.7552</v>
      </c>
    </row>
    <row r="234" customFormat="false" ht="15" hidden="false" customHeight="false" outlineLevel="0" collapsed="false">
      <c r="V234" s="55"/>
      <c r="W234" s="56"/>
      <c r="Z234" s="86" t="n">
        <f aca="false">SUM(Z232:Z233)</f>
        <v>1.68128</v>
      </c>
    </row>
    <row r="235" customFormat="false" ht="15" hidden="false" customHeight="false" outlineLevel="0" collapsed="false">
      <c r="R235" s="87" t="s">
        <v>295</v>
      </c>
      <c r="V235" s="55"/>
      <c r="W235" s="56"/>
      <c r="X235" s="99"/>
    </row>
    <row r="236" customFormat="false" ht="15" hidden="false" customHeight="false" outlineLevel="0" collapsed="false">
      <c r="R236" s="1" t="s">
        <v>296</v>
      </c>
      <c r="V236" s="55" t="s">
        <v>297</v>
      </c>
      <c r="W236" s="56"/>
      <c r="X236" s="99" t="n">
        <v>0.03</v>
      </c>
      <c r="Y236" s="28" t="n">
        <v>2.64</v>
      </c>
      <c r="Z236" s="28" t="n">
        <f aca="false">X236*Y236</f>
        <v>0.0792</v>
      </c>
    </row>
    <row r="237" customFormat="false" ht="15" hidden="false" customHeight="false" outlineLevel="0" collapsed="false">
      <c r="R237" s="1" t="s">
        <v>681</v>
      </c>
      <c r="V237" s="55" t="s">
        <v>297</v>
      </c>
      <c r="W237" s="56"/>
      <c r="X237" s="99" t="n">
        <v>1.05</v>
      </c>
      <c r="Y237" s="28" t="n">
        <f aca="false">1012.71*3.379/1000</f>
        <v>3.42194709</v>
      </c>
      <c r="Z237" s="28" t="n">
        <f aca="false">X237*Y237</f>
        <v>3.5930444445</v>
      </c>
    </row>
    <row r="238" customFormat="false" ht="15" hidden="false" customHeight="false" outlineLevel="0" collapsed="false">
      <c r="V238" s="55"/>
      <c r="W238" s="56"/>
      <c r="Z238" s="86" t="n">
        <f aca="false">SUM(Z236:Z237)</f>
        <v>3.6722444445</v>
      </c>
    </row>
    <row r="239" customFormat="false" ht="15" hidden="false" customHeight="false" outlineLevel="0" collapsed="false">
      <c r="R239" s="87" t="s">
        <v>318</v>
      </c>
      <c r="V239" s="55"/>
      <c r="W239" s="56"/>
    </row>
    <row r="240" customFormat="false" ht="15" hidden="false" customHeight="false" outlineLevel="0" collapsed="false">
      <c r="R240" s="1" t="s">
        <v>311</v>
      </c>
      <c r="V240" s="55" t="s">
        <v>312</v>
      </c>
      <c r="X240" s="57" t="n">
        <v>3</v>
      </c>
      <c r="Y240" s="28" t="n">
        <f aca="false">Z234</f>
        <v>1.68128</v>
      </c>
      <c r="Z240" s="28" t="n">
        <f aca="false">X240%*Y240</f>
        <v>0.0504384</v>
      </c>
    </row>
    <row r="241" customFormat="false" ht="15" hidden="false" customHeight="false" outlineLevel="0" collapsed="false">
      <c r="R241" s="1" t="s">
        <v>682</v>
      </c>
      <c r="V241" s="55" t="s">
        <v>292</v>
      </c>
      <c r="W241" s="56" t="n">
        <v>1</v>
      </c>
      <c r="X241" s="99" t="n">
        <f aca="false">W241*8/$T$229</f>
        <v>0.032</v>
      </c>
      <c r="Y241" s="46" t="n">
        <v>5</v>
      </c>
      <c r="Z241" s="28" t="n">
        <f aca="false">X241*Y241</f>
        <v>0.16</v>
      </c>
    </row>
    <row r="242" customFormat="false" ht="15" hidden="false" customHeight="false" outlineLevel="0" collapsed="false">
      <c r="Q242" s="60"/>
      <c r="R242" s="60"/>
      <c r="S242" s="60"/>
      <c r="T242" s="60"/>
      <c r="U242" s="60"/>
      <c r="V242" s="60"/>
      <c r="W242" s="60"/>
      <c r="X242" s="60"/>
      <c r="Y242" s="60"/>
      <c r="Z242" s="89" t="n">
        <f aca="false">SUM(Z240:Z241)</f>
        <v>0.2104384</v>
      </c>
    </row>
    <row r="244" customFormat="false" ht="15" hidden="false" customHeight="false" outlineLevel="0" collapsed="false">
      <c r="Q244" s="82" t="s">
        <v>278</v>
      </c>
      <c r="R244" s="82"/>
      <c r="S244" s="82" t="s">
        <v>511</v>
      </c>
      <c r="T244" s="82"/>
    </row>
    <row r="245" customFormat="false" ht="15" hidden="false" customHeight="false" outlineLevel="0" collapsed="false">
      <c r="Q245" s="82" t="s">
        <v>279</v>
      </c>
      <c r="R245" s="82" t="s">
        <v>417</v>
      </c>
      <c r="S245" s="84" t="s">
        <v>281</v>
      </c>
      <c r="T245" s="85" t="n">
        <v>20</v>
      </c>
      <c r="U245" s="84" t="s">
        <v>282</v>
      </c>
      <c r="V245" s="85" t="n">
        <f aca="false">T245</f>
        <v>20</v>
      </c>
      <c r="W245" s="82" t="s">
        <v>283</v>
      </c>
      <c r="Y245" s="84" t="s">
        <v>204</v>
      </c>
      <c r="Z245" s="86" t="n">
        <f aca="false">Z251+Z259+Z264</f>
        <v>438.22652</v>
      </c>
    </row>
    <row r="246" customFormat="false" ht="15" hidden="false" customHeight="false" outlineLevel="0" collapsed="false">
      <c r="Q246" s="82" t="s">
        <v>284</v>
      </c>
      <c r="R246" s="82" t="s">
        <v>285</v>
      </c>
      <c r="V246" s="84" t="s">
        <v>123</v>
      </c>
      <c r="W246" s="84" t="s">
        <v>286</v>
      </c>
      <c r="X246" s="84" t="s">
        <v>287</v>
      </c>
      <c r="Y246" s="84" t="s">
        <v>288</v>
      </c>
      <c r="Z246" s="84" t="s">
        <v>289</v>
      </c>
    </row>
    <row r="247" customFormat="false" ht="15" hidden="false" customHeight="false" outlineLevel="0" collapsed="false">
      <c r="R247" s="87" t="s">
        <v>290</v>
      </c>
    </row>
    <row r="248" customFormat="false" ht="15" hidden="false" customHeight="false" outlineLevel="0" collapsed="false">
      <c r="R248" s="1" t="s">
        <v>291</v>
      </c>
      <c r="V248" s="55" t="s">
        <v>292</v>
      </c>
      <c r="W248" s="56" t="n">
        <v>2</v>
      </c>
      <c r="X248" s="57" t="n">
        <f aca="false">W248*8/$T$245</f>
        <v>0.8</v>
      </c>
      <c r="Y248" s="28" t="n">
        <v>28.94</v>
      </c>
      <c r="Z248" s="28" t="n">
        <f aca="false">X248*Y248</f>
        <v>23.152</v>
      </c>
    </row>
    <row r="249" customFormat="false" ht="15" hidden="false" customHeight="false" outlineLevel="0" collapsed="false">
      <c r="R249" s="1" t="s">
        <v>293</v>
      </c>
      <c r="V249" s="55" t="s">
        <v>292</v>
      </c>
      <c r="W249" s="56" t="n">
        <v>1</v>
      </c>
      <c r="X249" s="57" t="n">
        <f aca="false">W249*8/$T$245</f>
        <v>0.4</v>
      </c>
      <c r="Y249" s="28" t="n">
        <v>23.6</v>
      </c>
      <c r="Z249" s="28" t="n">
        <f aca="false">X249*Y249</f>
        <v>9.44</v>
      </c>
    </row>
    <row r="250" customFormat="false" ht="15" hidden="false" customHeight="false" outlineLevel="0" collapsed="false">
      <c r="R250" s="1" t="s">
        <v>294</v>
      </c>
      <c r="V250" s="55" t="s">
        <v>292</v>
      </c>
      <c r="W250" s="56" t="n">
        <v>6</v>
      </c>
      <c r="X250" s="57" t="n">
        <f aca="false">W250*8/$T$245</f>
        <v>2.4</v>
      </c>
      <c r="Y250" s="28" t="n">
        <v>21.36</v>
      </c>
      <c r="Z250" s="28" t="n">
        <f aca="false">X250*Y250</f>
        <v>51.264</v>
      </c>
    </row>
    <row r="251" customFormat="false" ht="15" hidden="false" customHeight="false" outlineLevel="0" collapsed="false">
      <c r="V251" s="55"/>
      <c r="W251" s="56"/>
      <c r="X251" s="57"/>
      <c r="Z251" s="86" t="n">
        <f aca="false">SUM(Z248:Z250)</f>
        <v>83.856</v>
      </c>
    </row>
    <row r="252" customFormat="false" ht="15" hidden="false" customHeight="false" outlineLevel="0" collapsed="false">
      <c r="R252" s="87" t="s">
        <v>654</v>
      </c>
      <c r="V252" s="55"/>
      <c r="W252" s="56"/>
      <c r="X252" s="57"/>
      <c r="Z252" s="28"/>
    </row>
    <row r="253" customFormat="false" ht="15" hidden="false" customHeight="false" outlineLevel="0" collapsed="false">
      <c r="R253" s="1" t="s">
        <v>673</v>
      </c>
      <c r="V253" s="55" t="s">
        <v>204</v>
      </c>
      <c r="X253" s="57" t="n">
        <v>0.53</v>
      </c>
      <c r="Y253" s="28" t="n">
        <v>55.08</v>
      </c>
      <c r="Z253" s="28" t="n">
        <f aca="false">X253*Y253</f>
        <v>29.1924</v>
      </c>
    </row>
    <row r="254" customFormat="false" ht="15" hidden="false" customHeight="false" outlineLevel="0" collapsed="false">
      <c r="R254" s="1" t="s">
        <v>674</v>
      </c>
      <c r="V254" s="55" t="s">
        <v>204</v>
      </c>
      <c r="X254" s="57" t="n">
        <v>0.52</v>
      </c>
      <c r="Y254" s="28" t="n">
        <v>47</v>
      </c>
      <c r="Z254" s="28" t="n">
        <f aca="false">X254*Y254</f>
        <v>24.44</v>
      </c>
    </row>
    <row r="255" customFormat="false" ht="15" hidden="false" customHeight="false" outlineLevel="0" collapsed="false">
      <c r="R255" s="1" t="s">
        <v>307</v>
      </c>
      <c r="V255" s="55" t="s">
        <v>308</v>
      </c>
      <c r="X255" s="57" t="n">
        <v>9.73</v>
      </c>
      <c r="Y255" s="28" t="n">
        <v>24.52</v>
      </c>
      <c r="Z255" s="28" t="n">
        <f aca="false">X255*Y255</f>
        <v>238.5796</v>
      </c>
    </row>
    <row r="256" customFormat="false" ht="15" hidden="false" customHeight="false" outlineLevel="0" collapsed="false">
      <c r="R256" s="1" t="s">
        <v>656</v>
      </c>
      <c r="V256" s="55" t="s">
        <v>204</v>
      </c>
      <c r="X256" s="57" t="n">
        <v>0.186</v>
      </c>
      <c r="Y256" s="1" t="n">
        <v>6.14</v>
      </c>
      <c r="Z256" s="28" t="n">
        <f aca="false">X256*Y256</f>
        <v>1.14204</v>
      </c>
    </row>
    <row r="257" customFormat="false" ht="15" hidden="false" customHeight="false" outlineLevel="0" collapsed="false">
      <c r="R257" s="1" t="s">
        <v>666</v>
      </c>
      <c r="V257" s="55" t="s">
        <v>440</v>
      </c>
      <c r="X257" s="57" t="n">
        <v>0.36</v>
      </c>
      <c r="Y257" s="1" t="n">
        <v>13.93</v>
      </c>
      <c r="Z257" s="28" t="n">
        <f aca="false">X257*Y257</f>
        <v>5.0148</v>
      </c>
    </row>
    <row r="258" customFormat="false" ht="15" hidden="false" customHeight="false" outlineLevel="0" collapsed="false">
      <c r="R258" s="1" t="s">
        <v>675</v>
      </c>
      <c r="V258" s="55" t="s">
        <v>440</v>
      </c>
      <c r="X258" s="57" t="n">
        <v>1.5</v>
      </c>
      <c r="Y258" s="88" t="n">
        <v>27.88</v>
      </c>
      <c r="Z258" s="28" t="n">
        <f aca="false">X258*Y258</f>
        <v>41.82</v>
      </c>
    </row>
    <row r="259" customFormat="false" ht="15" hidden="false" customHeight="false" outlineLevel="0" collapsed="false">
      <c r="V259" s="55"/>
      <c r="X259" s="57"/>
      <c r="Y259" s="28"/>
      <c r="Z259" s="86" t="n">
        <f aca="false">SUM(Z253:Z258)</f>
        <v>340.18884</v>
      </c>
    </row>
    <row r="260" customFormat="false" ht="15" hidden="false" customHeight="false" outlineLevel="0" collapsed="false">
      <c r="R260" s="87" t="s">
        <v>310</v>
      </c>
    </row>
    <row r="261" customFormat="false" ht="15" hidden="false" customHeight="false" outlineLevel="0" collapsed="false">
      <c r="R261" s="1" t="s">
        <v>311</v>
      </c>
      <c r="V261" s="55" t="s">
        <v>312</v>
      </c>
      <c r="X261" s="57" t="n">
        <v>3</v>
      </c>
      <c r="Y261" s="28" t="n">
        <f aca="false">Z251</f>
        <v>83.856</v>
      </c>
      <c r="Z261" s="28" t="n">
        <f aca="false">X261%*Y261</f>
        <v>2.51568</v>
      </c>
    </row>
    <row r="262" customFormat="false" ht="15" hidden="false" customHeight="false" outlineLevel="0" collapsed="false">
      <c r="R262" s="1" t="s">
        <v>668</v>
      </c>
      <c r="V262" s="55" t="s">
        <v>338</v>
      </c>
      <c r="W262" s="56" t="n">
        <v>1</v>
      </c>
      <c r="X262" s="57" t="n">
        <f aca="false">W262*8/$T$245</f>
        <v>0.4</v>
      </c>
      <c r="Y262" s="28" t="n">
        <v>25.63</v>
      </c>
      <c r="Z262" s="28" t="n">
        <f aca="false">X262*Y262</f>
        <v>10.252</v>
      </c>
    </row>
    <row r="263" customFormat="false" ht="15" hidden="false" customHeight="false" outlineLevel="0" collapsed="false">
      <c r="R263" s="1" t="s">
        <v>676</v>
      </c>
      <c r="V263" s="55" t="s">
        <v>338</v>
      </c>
      <c r="W263" s="56" t="n">
        <v>0.5</v>
      </c>
      <c r="X263" s="57" t="n">
        <f aca="false">W263*8/$T$245</f>
        <v>0.2</v>
      </c>
      <c r="Y263" s="28" t="n">
        <v>7.07</v>
      </c>
      <c r="Z263" s="28" t="n">
        <f aca="false">X263*Y263</f>
        <v>1.414</v>
      </c>
    </row>
    <row r="264" customFormat="false" ht="15" hidden="false" customHeight="false" outlineLevel="0" collapsed="false">
      <c r="Q264" s="60"/>
      <c r="R264" s="60"/>
      <c r="S264" s="60"/>
      <c r="T264" s="60"/>
      <c r="U264" s="60"/>
      <c r="V264" s="60"/>
      <c r="W264" s="60"/>
      <c r="X264" s="60"/>
      <c r="Y264" s="60"/>
      <c r="Z264" s="89" t="n">
        <f aca="false">SUM(Z261:Z263)</f>
        <v>14.18168</v>
      </c>
    </row>
    <row r="265" customFormat="false" ht="15" hidden="false" customHeight="false" outlineLevel="0" collapsed="false">
      <c r="Z265" s="86"/>
    </row>
    <row r="266" customFormat="false" ht="15" hidden="false" customHeight="false" outlineLevel="0" collapsed="false">
      <c r="Q266" s="82" t="s">
        <v>278</v>
      </c>
      <c r="R266" s="82"/>
      <c r="S266" s="82" t="s">
        <v>513</v>
      </c>
      <c r="T266" s="82"/>
    </row>
    <row r="267" customFormat="false" ht="15" hidden="false" customHeight="false" outlineLevel="0" collapsed="false">
      <c r="Q267" s="82" t="s">
        <v>279</v>
      </c>
      <c r="R267" s="82" t="s">
        <v>280</v>
      </c>
      <c r="S267" s="84" t="s">
        <v>281</v>
      </c>
      <c r="T267" s="85" t="n">
        <v>20</v>
      </c>
      <c r="U267" s="84" t="s">
        <v>282</v>
      </c>
      <c r="V267" s="85" t="n">
        <f aca="false">T267</f>
        <v>20</v>
      </c>
      <c r="W267" s="82" t="s">
        <v>283</v>
      </c>
      <c r="Y267" s="84" t="s">
        <v>134</v>
      </c>
      <c r="Z267" s="86" t="n">
        <f aca="false">Z272+Z277+Z280</f>
        <v>64.02696</v>
      </c>
    </row>
    <row r="268" customFormat="false" ht="15" hidden="false" customHeight="false" outlineLevel="0" collapsed="false">
      <c r="Q268" s="82" t="s">
        <v>284</v>
      </c>
      <c r="R268" s="82" t="s">
        <v>285</v>
      </c>
      <c r="V268" s="84" t="s">
        <v>123</v>
      </c>
      <c r="W268" s="84" t="s">
        <v>286</v>
      </c>
      <c r="X268" s="84" t="s">
        <v>287</v>
      </c>
      <c r="Y268" s="84" t="s">
        <v>288</v>
      </c>
      <c r="Z268" s="84" t="s">
        <v>289</v>
      </c>
    </row>
    <row r="269" customFormat="false" ht="15" hidden="false" customHeight="false" outlineLevel="0" collapsed="false">
      <c r="R269" s="87" t="s">
        <v>290</v>
      </c>
      <c r="AC269" s="28"/>
    </row>
    <row r="270" customFormat="false" ht="15" hidden="false" customHeight="false" outlineLevel="0" collapsed="false">
      <c r="R270" s="1" t="s">
        <v>291</v>
      </c>
      <c r="V270" s="55" t="s">
        <v>292</v>
      </c>
      <c r="W270" s="56" t="n">
        <v>2</v>
      </c>
      <c r="X270" s="57" t="n">
        <f aca="false">W270*8/$T$267</f>
        <v>0.8</v>
      </c>
      <c r="Y270" s="28" t="n">
        <v>28.94</v>
      </c>
      <c r="Z270" s="28" t="n">
        <f aca="false">X270*Y270</f>
        <v>23.152</v>
      </c>
      <c r="AC270" s="28"/>
    </row>
    <row r="271" customFormat="false" ht="15" hidden="false" customHeight="false" outlineLevel="0" collapsed="false">
      <c r="R271" s="1" t="s">
        <v>293</v>
      </c>
      <c r="V271" s="55" t="s">
        <v>292</v>
      </c>
      <c r="W271" s="56" t="n">
        <v>2</v>
      </c>
      <c r="X271" s="57" t="n">
        <f aca="false">W271*8/$T$267</f>
        <v>0.8</v>
      </c>
      <c r="Y271" s="28" t="n">
        <v>23.6</v>
      </c>
      <c r="Z271" s="28" t="n">
        <f aca="false">X271*Y271</f>
        <v>18.88</v>
      </c>
    </row>
    <row r="272" customFormat="false" ht="15" hidden="false" customHeight="false" outlineLevel="0" collapsed="false">
      <c r="V272" s="55"/>
      <c r="W272" s="56"/>
      <c r="X272" s="57"/>
      <c r="Z272" s="86" t="n">
        <f aca="false">SUM(Z270:Z271)</f>
        <v>42.032</v>
      </c>
    </row>
    <row r="273" customFormat="false" ht="15" hidden="false" customHeight="false" outlineLevel="0" collapsed="false">
      <c r="R273" s="87" t="s">
        <v>654</v>
      </c>
      <c r="V273" s="55"/>
      <c r="W273" s="56"/>
      <c r="X273" s="57"/>
      <c r="Z273" s="28"/>
    </row>
    <row r="274" customFormat="false" ht="15" hidden="false" customHeight="false" outlineLevel="0" collapsed="false">
      <c r="R274" s="1" t="s">
        <v>678</v>
      </c>
      <c r="V274" s="55" t="s">
        <v>297</v>
      </c>
      <c r="X274" s="57" t="n">
        <v>0.16</v>
      </c>
      <c r="Y274" s="28" t="n">
        <v>2.64</v>
      </c>
      <c r="Z274" s="28" t="n">
        <f aca="false">X274*Y274</f>
        <v>0.4224</v>
      </c>
    </row>
    <row r="275" customFormat="false" ht="15" hidden="false" customHeight="false" outlineLevel="0" collapsed="false">
      <c r="R275" s="1" t="s">
        <v>302</v>
      </c>
      <c r="V275" s="55" t="s">
        <v>297</v>
      </c>
      <c r="X275" s="57" t="n">
        <v>0.16</v>
      </c>
      <c r="Y275" s="28" t="n">
        <v>5.51</v>
      </c>
      <c r="Z275" s="28" t="n">
        <f aca="false">X275*Y275</f>
        <v>0.8816</v>
      </c>
    </row>
    <row r="276" customFormat="false" ht="15" hidden="false" customHeight="false" outlineLevel="0" collapsed="false">
      <c r="R276" s="1" t="s">
        <v>670</v>
      </c>
      <c r="V276" s="55" t="s">
        <v>306</v>
      </c>
      <c r="X276" s="57" t="n">
        <v>3.35</v>
      </c>
      <c r="Y276" s="28" t="n">
        <v>5.8</v>
      </c>
      <c r="Z276" s="28" t="n">
        <f aca="false">X276*Y276</f>
        <v>19.43</v>
      </c>
    </row>
    <row r="277" customFormat="false" ht="15" hidden="false" customHeight="false" outlineLevel="0" collapsed="false">
      <c r="V277" s="55"/>
      <c r="X277" s="57"/>
      <c r="Y277" s="28"/>
      <c r="Z277" s="86" t="n">
        <f aca="false">SUM(Z274:Z276)</f>
        <v>20.734</v>
      </c>
    </row>
    <row r="278" customFormat="false" ht="15" hidden="false" customHeight="false" outlineLevel="0" collapsed="false">
      <c r="R278" s="87" t="s">
        <v>310</v>
      </c>
    </row>
    <row r="279" customFormat="false" ht="15" hidden="false" customHeight="false" outlineLevel="0" collapsed="false">
      <c r="R279" s="1" t="s">
        <v>311</v>
      </c>
      <c r="V279" s="55" t="s">
        <v>312</v>
      </c>
      <c r="X279" s="57" t="n">
        <v>3</v>
      </c>
      <c r="Y279" s="28" t="n">
        <f aca="false">Z272</f>
        <v>42.032</v>
      </c>
      <c r="Z279" s="28" t="n">
        <f aca="false">X279%*Y279</f>
        <v>1.26096</v>
      </c>
    </row>
    <row r="280" customFormat="false" ht="15" hidden="false" customHeight="false" outlineLevel="0" collapsed="false">
      <c r="Q280" s="60"/>
      <c r="R280" s="60"/>
      <c r="S280" s="60"/>
      <c r="T280" s="60"/>
      <c r="U280" s="60"/>
      <c r="V280" s="60"/>
      <c r="W280" s="60"/>
      <c r="X280" s="60"/>
      <c r="Y280" s="60"/>
      <c r="Z280" s="89" t="n">
        <f aca="false">SUM(Z279)</f>
        <v>1.26096</v>
      </c>
    </row>
    <row r="281" customFormat="false" ht="15" hidden="false" customHeight="false" outlineLevel="0" collapsed="false">
      <c r="Z281" s="86"/>
    </row>
    <row r="282" customFormat="false" ht="15" hidden="false" customHeight="false" outlineLevel="0" collapsed="false">
      <c r="Q282" s="82" t="s">
        <v>278</v>
      </c>
      <c r="R282" s="82"/>
      <c r="S282" s="82" t="s">
        <v>685</v>
      </c>
      <c r="T282" s="82"/>
    </row>
    <row r="283" customFormat="false" ht="15" hidden="false" customHeight="false" outlineLevel="0" collapsed="false">
      <c r="Q283" s="82" t="s">
        <v>279</v>
      </c>
      <c r="R283" s="82" t="s">
        <v>679</v>
      </c>
      <c r="S283" s="84" t="s">
        <v>281</v>
      </c>
      <c r="T283" s="85" t="n">
        <v>250</v>
      </c>
      <c r="U283" s="84" t="s">
        <v>282</v>
      </c>
      <c r="V283" s="85" t="n">
        <f aca="false">T283</f>
        <v>250</v>
      </c>
      <c r="W283" s="82" t="s">
        <v>283</v>
      </c>
      <c r="Y283" s="84" t="s">
        <v>297</v>
      </c>
      <c r="Z283" s="86" t="n">
        <f aca="false">Z289+Z293+Z297</f>
        <v>5.5639628445</v>
      </c>
    </row>
    <row r="284" customFormat="false" ht="15" hidden="false" customHeight="false" outlineLevel="0" collapsed="false">
      <c r="Q284" s="82" t="s">
        <v>284</v>
      </c>
      <c r="R284" s="82" t="s">
        <v>285</v>
      </c>
      <c r="V284" s="84" t="s">
        <v>123</v>
      </c>
      <c r="W284" s="84" t="s">
        <v>286</v>
      </c>
      <c r="X284" s="84" t="s">
        <v>287</v>
      </c>
      <c r="Y284" s="84" t="s">
        <v>288</v>
      </c>
      <c r="Z284" s="84" t="s">
        <v>289</v>
      </c>
    </row>
    <row r="285" customFormat="false" ht="15" hidden="false" customHeight="false" outlineLevel="0" collapsed="false">
      <c r="R285" s="87" t="s">
        <v>290</v>
      </c>
      <c r="W285" s="56"/>
    </row>
    <row r="286" customFormat="false" ht="15" hidden="false" customHeight="false" outlineLevel="0" collapsed="false">
      <c r="R286" s="1" t="s">
        <v>291</v>
      </c>
      <c r="V286" s="55" t="s">
        <v>292</v>
      </c>
      <c r="W286" s="56" t="n">
        <v>1</v>
      </c>
      <c r="X286" s="99" t="n">
        <f aca="false">W286*8/$T$229</f>
        <v>0.032</v>
      </c>
      <c r="Y286" s="28" t="n">
        <v>28.94</v>
      </c>
      <c r="Z286" s="28" t="n">
        <f aca="false">X286*Y286</f>
        <v>0.92608</v>
      </c>
    </row>
    <row r="287" customFormat="false" ht="15" hidden="false" customHeight="false" outlineLevel="0" collapsed="false">
      <c r="R287" s="1" t="s">
        <v>680</v>
      </c>
      <c r="V287" s="55" t="s">
        <v>292</v>
      </c>
      <c r="W287" s="56" t="n">
        <v>1</v>
      </c>
      <c r="X287" s="99" t="n">
        <f aca="false">W287*8/$T$229</f>
        <v>0.032</v>
      </c>
      <c r="Y287" s="28" t="n">
        <v>23.6</v>
      </c>
      <c r="Z287" s="28" t="n">
        <f aca="false">X287*Y287</f>
        <v>0.7552</v>
      </c>
    </row>
    <row r="288" customFormat="false" ht="15" hidden="false" customHeight="false" outlineLevel="0" collapsed="false">
      <c r="V288" s="55"/>
      <c r="W288" s="56"/>
      <c r="X288" s="99"/>
      <c r="Y288" s="28"/>
      <c r="Z288" s="28"/>
    </row>
    <row r="289" customFormat="false" ht="15" hidden="false" customHeight="false" outlineLevel="0" collapsed="false">
      <c r="V289" s="55"/>
      <c r="W289" s="56"/>
      <c r="Z289" s="86" t="n">
        <f aca="false">SUM(Z286:Z288)</f>
        <v>1.68128</v>
      </c>
    </row>
    <row r="290" customFormat="false" ht="15" hidden="false" customHeight="false" outlineLevel="0" collapsed="false">
      <c r="R290" s="87" t="s">
        <v>295</v>
      </c>
      <c r="V290" s="55"/>
      <c r="W290" s="56"/>
      <c r="X290" s="99"/>
    </row>
    <row r="291" customFormat="false" ht="15" hidden="false" customHeight="false" outlineLevel="0" collapsed="false">
      <c r="R291" s="1" t="s">
        <v>296</v>
      </c>
      <c r="V291" s="55" t="s">
        <v>297</v>
      </c>
      <c r="W291" s="56"/>
      <c r="X291" s="99" t="n">
        <v>0.03</v>
      </c>
      <c r="Y291" s="28" t="n">
        <v>2.64</v>
      </c>
      <c r="Z291" s="28" t="n">
        <f aca="false">X291*Y291</f>
        <v>0.0792</v>
      </c>
    </row>
    <row r="292" customFormat="false" ht="15" hidden="false" customHeight="false" outlineLevel="0" collapsed="false">
      <c r="R292" s="1" t="s">
        <v>681</v>
      </c>
      <c r="V292" s="55" t="s">
        <v>297</v>
      </c>
      <c r="W292" s="56"/>
      <c r="X292" s="99" t="n">
        <v>1.05</v>
      </c>
      <c r="Y292" s="28" t="n">
        <f aca="false">1012.71*3.379/1000</f>
        <v>3.42194709</v>
      </c>
      <c r="Z292" s="28" t="n">
        <f aca="false">X292*Y292</f>
        <v>3.5930444445</v>
      </c>
    </row>
    <row r="293" customFormat="false" ht="15" hidden="false" customHeight="false" outlineLevel="0" collapsed="false">
      <c r="V293" s="55"/>
      <c r="W293" s="56"/>
      <c r="Z293" s="86" t="n">
        <f aca="false">SUM(Z291:Z292)</f>
        <v>3.6722444445</v>
      </c>
    </row>
    <row r="294" customFormat="false" ht="15" hidden="false" customHeight="false" outlineLevel="0" collapsed="false">
      <c r="R294" s="87" t="s">
        <v>318</v>
      </c>
      <c r="V294" s="55"/>
      <c r="W294" s="56"/>
    </row>
    <row r="295" customFormat="false" ht="15" hidden="false" customHeight="false" outlineLevel="0" collapsed="false">
      <c r="R295" s="1" t="s">
        <v>311</v>
      </c>
      <c r="V295" s="55" t="s">
        <v>312</v>
      </c>
      <c r="X295" s="57" t="n">
        <v>3</v>
      </c>
      <c r="Y295" s="28" t="n">
        <f aca="false">Z289</f>
        <v>1.68128</v>
      </c>
      <c r="Z295" s="28" t="n">
        <f aca="false">X295%*Y295</f>
        <v>0.0504384</v>
      </c>
    </row>
    <row r="296" customFormat="false" ht="15" hidden="false" customHeight="false" outlineLevel="0" collapsed="false">
      <c r="R296" s="1" t="s">
        <v>682</v>
      </c>
      <c r="V296" s="55" t="s">
        <v>292</v>
      </c>
      <c r="W296" s="56" t="n">
        <v>1</v>
      </c>
      <c r="X296" s="57" t="n">
        <f aca="false">W296*8/$T$283</f>
        <v>0.032</v>
      </c>
      <c r="Y296" s="46" t="n">
        <v>5</v>
      </c>
      <c r="Z296" s="28" t="n">
        <f aca="false">X296*Y296</f>
        <v>0.16</v>
      </c>
    </row>
    <row r="297" customFormat="false" ht="15" hidden="false" customHeight="false" outlineLevel="0" collapsed="false">
      <c r="Q297" s="60"/>
      <c r="R297" s="60"/>
      <c r="S297" s="60"/>
      <c r="T297" s="60"/>
      <c r="U297" s="60"/>
      <c r="V297" s="60"/>
      <c r="W297" s="60"/>
      <c r="X297" s="60"/>
      <c r="Y297" s="60"/>
      <c r="Z297" s="89" t="n">
        <f aca="false">SUM(Z295:Z296)</f>
        <v>0.2104384</v>
      </c>
    </row>
    <row r="300" customFormat="false" ht="15" hidden="false" customHeight="false" outlineLevel="0" collapsed="false">
      <c r="Q300" s="82" t="s">
        <v>278</v>
      </c>
      <c r="R300" s="82"/>
      <c r="S300" s="82" t="s">
        <v>686</v>
      </c>
      <c r="T300" s="82"/>
    </row>
    <row r="301" customFormat="false" ht="15" hidden="false" customHeight="false" outlineLevel="0" collapsed="false">
      <c r="Q301" s="82" t="s">
        <v>279</v>
      </c>
      <c r="R301" s="82" t="s">
        <v>417</v>
      </c>
      <c r="S301" s="84" t="s">
        <v>281</v>
      </c>
      <c r="T301" s="85" t="n">
        <v>15</v>
      </c>
      <c r="U301" s="84" t="s">
        <v>282</v>
      </c>
      <c r="V301" s="85" t="n">
        <f aca="false">T301</f>
        <v>15</v>
      </c>
      <c r="W301" s="82" t="s">
        <v>283</v>
      </c>
      <c r="Y301" s="84" t="s">
        <v>204</v>
      </c>
      <c r="Z301" s="86" t="n">
        <f aca="false">Z307+Z314+Z319</f>
        <v>424.9218</v>
      </c>
    </row>
    <row r="302" customFormat="false" ht="15" hidden="false" customHeight="false" outlineLevel="0" collapsed="false">
      <c r="Q302" s="82" t="s">
        <v>284</v>
      </c>
      <c r="R302" s="82" t="s">
        <v>285</v>
      </c>
      <c r="V302" s="84" t="s">
        <v>123</v>
      </c>
      <c r="W302" s="84" t="s">
        <v>286</v>
      </c>
      <c r="X302" s="84" t="s">
        <v>287</v>
      </c>
      <c r="Y302" s="84" t="s">
        <v>288</v>
      </c>
      <c r="Z302" s="84" t="s">
        <v>289</v>
      </c>
    </row>
    <row r="303" customFormat="false" ht="15" hidden="false" customHeight="false" outlineLevel="0" collapsed="false">
      <c r="R303" s="87" t="s">
        <v>290</v>
      </c>
    </row>
    <row r="304" customFormat="false" ht="15" hidden="false" customHeight="false" outlineLevel="0" collapsed="false">
      <c r="R304" s="1" t="s">
        <v>291</v>
      </c>
      <c r="V304" s="55" t="s">
        <v>292</v>
      </c>
      <c r="W304" s="56" t="n">
        <v>1</v>
      </c>
      <c r="X304" s="57" t="n">
        <f aca="false">W304*8/$T$301</f>
        <v>0.533333333333333</v>
      </c>
      <c r="Y304" s="28" t="n">
        <v>28.94</v>
      </c>
      <c r="Z304" s="28" t="n">
        <f aca="false">X304*Y304</f>
        <v>15.4346666666667</v>
      </c>
    </row>
    <row r="305" customFormat="false" ht="15" hidden="false" customHeight="false" outlineLevel="0" collapsed="false">
      <c r="R305" s="1" t="s">
        <v>293</v>
      </c>
      <c r="V305" s="55" t="s">
        <v>292</v>
      </c>
      <c r="W305" s="56" t="n">
        <v>1</v>
      </c>
      <c r="X305" s="57" t="n">
        <f aca="false">W305*8/$T$301</f>
        <v>0.533333333333333</v>
      </c>
      <c r="Y305" s="28" t="n">
        <v>23.6</v>
      </c>
      <c r="Z305" s="28" t="n">
        <f aca="false">X305*Y305</f>
        <v>12.5866666666667</v>
      </c>
    </row>
    <row r="306" customFormat="false" ht="15" hidden="false" customHeight="false" outlineLevel="0" collapsed="false">
      <c r="R306" s="1" t="s">
        <v>294</v>
      </c>
      <c r="V306" s="55" t="s">
        <v>292</v>
      </c>
      <c r="W306" s="56" t="n">
        <v>7</v>
      </c>
      <c r="X306" s="57" t="n">
        <f aca="false">W306*8/$T$301</f>
        <v>3.73333333333333</v>
      </c>
      <c r="Y306" s="28" t="n">
        <v>21.36</v>
      </c>
      <c r="Z306" s="28" t="n">
        <f aca="false">X306*Y306</f>
        <v>79.744</v>
      </c>
    </row>
    <row r="307" customFormat="false" ht="15" hidden="false" customHeight="false" outlineLevel="0" collapsed="false">
      <c r="V307" s="55"/>
      <c r="W307" s="56"/>
      <c r="X307" s="57"/>
      <c r="Z307" s="86" t="n">
        <f aca="false">SUM(Z304:Z306)</f>
        <v>107.765333333333</v>
      </c>
    </row>
    <row r="308" customFormat="false" ht="15" hidden="false" customHeight="false" outlineLevel="0" collapsed="false">
      <c r="R308" s="87" t="s">
        <v>654</v>
      </c>
      <c r="V308" s="55"/>
      <c r="W308" s="56"/>
      <c r="X308" s="57"/>
      <c r="Z308" s="28"/>
    </row>
    <row r="309" customFormat="false" ht="15" hidden="false" customHeight="false" outlineLevel="0" collapsed="false">
      <c r="R309" s="1" t="s">
        <v>673</v>
      </c>
      <c r="V309" s="55" t="s">
        <v>204</v>
      </c>
      <c r="X309" s="57" t="n">
        <v>0.53</v>
      </c>
      <c r="Y309" s="28" t="n">
        <v>55.08</v>
      </c>
      <c r="Z309" s="28" t="n">
        <f aca="false">X309*Y309</f>
        <v>29.1924</v>
      </c>
    </row>
    <row r="310" customFormat="false" ht="15" hidden="false" customHeight="false" outlineLevel="0" collapsed="false">
      <c r="R310" s="1" t="s">
        <v>674</v>
      </c>
      <c r="V310" s="55" t="s">
        <v>204</v>
      </c>
      <c r="X310" s="57" t="n">
        <v>0.52</v>
      </c>
      <c r="Y310" s="28" t="n">
        <v>47</v>
      </c>
      <c r="Z310" s="28" t="n">
        <f aca="false">X310*Y310</f>
        <v>24.44</v>
      </c>
    </row>
    <row r="311" customFormat="false" ht="15" hidden="false" customHeight="false" outlineLevel="0" collapsed="false">
      <c r="R311" s="1" t="s">
        <v>307</v>
      </c>
      <c r="V311" s="55" t="s">
        <v>308</v>
      </c>
      <c r="X311" s="57" t="n">
        <v>9.73</v>
      </c>
      <c r="Y311" s="28" t="n">
        <v>24.52</v>
      </c>
      <c r="Z311" s="28" t="n">
        <f aca="false">X311*Y311</f>
        <v>238.5796</v>
      </c>
    </row>
    <row r="312" customFormat="false" ht="15" hidden="false" customHeight="false" outlineLevel="0" collapsed="false">
      <c r="R312" s="1" t="s">
        <v>656</v>
      </c>
      <c r="V312" s="55" t="s">
        <v>204</v>
      </c>
      <c r="X312" s="57" t="n">
        <v>0.186</v>
      </c>
      <c r="Y312" s="1" t="n">
        <v>6.14</v>
      </c>
      <c r="Z312" s="28" t="n">
        <f aca="false">X312*Y312</f>
        <v>1.14204</v>
      </c>
    </row>
    <row r="313" customFormat="false" ht="15" hidden="false" customHeight="false" outlineLevel="0" collapsed="false">
      <c r="R313" s="1" t="s">
        <v>666</v>
      </c>
      <c r="V313" s="55" t="s">
        <v>440</v>
      </c>
      <c r="X313" s="57" t="n">
        <v>0.36</v>
      </c>
      <c r="Y313" s="1" t="n">
        <v>13.93</v>
      </c>
      <c r="Z313" s="28" t="n">
        <f aca="false">X313*Y313</f>
        <v>5.0148</v>
      </c>
    </row>
    <row r="314" customFormat="false" ht="15" hidden="false" customHeight="false" outlineLevel="0" collapsed="false">
      <c r="V314" s="55"/>
      <c r="X314" s="57"/>
      <c r="Y314" s="28"/>
      <c r="Z314" s="86" t="n">
        <f aca="false">SUM(Z309:Z313)</f>
        <v>298.36884</v>
      </c>
    </row>
    <row r="315" customFormat="false" ht="15" hidden="false" customHeight="false" outlineLevel="0" collapsed="false">
      <c r="R315" s="87" t="s">
        <v>310</v>
      </c>
    </row>
    <row r="316" customFormat="false" ht="15" hidden="false" customHeight="false" outlineLevel="0" collapsed="false">
      <c r="R316" s="1" t="s">
        <v>311</v>
      </c>
      <c r="V316" s="55" t="s">
        <v>312</v>
      </c>
      <c r="X316" s="57" t="n">
        <v>3</v>
      </c>
      <c r="Y316" s="28" t="n">
        <f aca="false">Z307</f>
        <v>107.765333333333</v>
      </c>
      <c r="Z316" s="28" t="n">
        <f aca="false">X316%*Y316</f>
        <v>3.23296</v>
      </c>
    </row>
    <row r="317" customFormat="false" ht="15" hidden="false" customHeight="false" outlineLevel="0" collapsed="false">
      <c r="R317" s="1" t="s">
        <v>668</v>
      </c>
      <c r="V317" s="55" t="s">
        <v>338</v>
      </c>
      <c r="W317" s="56" t="n">
        <v>1</v>
      </c>
      <c r="X317" s="57" t="n">
        <f aca="false">W317*8/$T$301</f>
        <v>0.533333333333333</v>
      </c>
      <c r="Y317" s="28" t="n">
        <v>25.63</v>
      </c>
      <c r="Z317" s="28" t="n">
        <f aca="false">X317*Y317</f>
        <v>13.6693333333333</v>
      </c>
    </row>
    <row r="318" customFormat="false" ht="15" hidden="false" customHeight="false" outlineLevel="0" collapsed="false">
      <c r="R318" s="1" t="s">
        <v>676</v>
      </c>
      <c r="V318" s="55" t="s">
        <v>338</v>
      </c>
      <c r="W318" s="56" t="n">
        <v>0.5</v>
      </c>
      <c r="X318" s="57" t="n">
        <f aca="false">W318*8/$T$301</f>
        <v>0.266666666666667</v>
      </c>
      <c r="Y318" s="28" t="n">
        <v>7.07</v>
      </c>
      <c r="Z318" s="28" t="n">
        <f aca="false">X318*Y318</f>
        <v>1.88533333333333</v>
      </c>
    </row>
    <row r="319" customFormat="false" ht="15" hidden="false" customHeight="false" outlineLevel="0" collapsed="false">
      <c r="Q319" s="60"/>
      <c r="R319" s="60"/>
      <c r="S319" s="60"/>
      <c r="T319" s="60"/>
      <c r="U319" s="60"/>
      <c r="V319" s="60"/>
      <c r="W319" s="60"/>
      <c r="X319" s="60"/>
      <c r="Y319" s="60"/>
      <c r="Z319" s="89" t="n">
        <f aca="false">SUM(Z316:Z318)</f>
        <v>18.7876266666667</v>
      </c>
    </row>
    <row r="321" customFormat="false" ht="15" hidden="false" customHeight="false" outlineLevel="0" collapsed="false">
      <c r="Q321" s="82" t="s">
        <v>278</v>
      </c>
      <c r="R321" s="82"/>
      <c r="S321" s="82" t="s">
        <v>687</v>
      </c>
      <c r="T321" s="82"/>
    </row>
    <row r="322" customFormat="false" ht="15" hidden="false" customHeight="false" outlineLevel="0" collapsed="false">
      <c r="Q322" s="82" t="s">
        <v>279</v>
      </c>
      <c r="R322" s="82" t="s">
        <v>280</v>
      </c>
      <c r="S322" s="84" t="s">
        <v>281</v>
      </c>
      <c r="T322" s="85" t="n">
        <v>20</v>
      </c>
      <c r="U322" s="84" t="s">
        <v>282</v>
      </c>
      <c r="V322" s="85" t="n">
        <f aca="false">T322</f>
        <v>20</v>
      </c>
      <c r="W322" s="82" t="s">
        <v>283</v>
      </c>
      <c r="Y322" s="84" t="s">
        <v>134</v>
      </c>
      <c r="Z322" s="86" t="n">
        <f aca="false">Z327+Z332+Z335</f>
        <v>42.64448</v>
      </c>
    </row>
    <row r="323" customFormat="false" ht="15" hidden="false" customHeight="false" outlineLevel="0" collapsed="false">
      <c r="Q323" s="82" t="s">
        <v>284</v>
      </c>
      <c r="R323" s="82" t="s">
        <v>285</v>
      </c>
      <c r="V323" s="84" t="s">
        <v>123</v>
      </c>
      <c r="W323" s="84" t="s">
        <v>286</v>
      </c>
      <c r="X323" s="84" t="s">
        <v>287</v>
      </c>
      <c r="Y323" s="84" t="s">
        <v>288</v>
      </c>
      <c r="Z323" s="84" t="s">
        <v>289</v>
      </c>
    </row>
    <row r="324" customFormat="false" ht="15" hidden="false" customHeight="false" outlineLevel="0" collapsed="false">
      <c r="R324" s="87" t="s">
        <v>290</v>
      </c>
    </row>
    <row r="325" customFormat="false" ht="15" hidden="false" customHeight="false" outlineLevel="0" collapsed="false">
      <c r="R325" s="1" t="s">
        <v>291</v>
      </c>
      <c r="V325" s="55" t="s">
        <v>292</v>
      </c>
      <c r="W325" s="56" t="n">
        <v>1</v>
      </c>
      <c r="X325" s="57" t="n">
        <f aca="false">W325*8/$T$322</f>
        <v>0.4</v>
      </c>
      <c r="Y325" s="28" t="n">
        <v>28.94</v>
      </c>
      <c r="Z325" s="28" t="n">
        <f aca="false">X325*Y325</f>
        <v>11.576</v>
      </c>
    </row>
    <row r="326" customFormat="false" ht="15" hidden="false" customHeight="false" outlineLevel="0" collapsed="false">
      <c r="R326" s="1" t="s">
        <v>293</v>
      </c>
      <c r="V326" s="55" t="s">
        <v>292</v>
      </c>
      <c r="W326" s="56" t="n">
        <v>1</v>
      </c>
      <c r="X326" s="57" t="n">
        <f aca="false">W326*8/$T$322</f>
        <v>0.4</v>
      </c>
      <c r="Y326" s="28" t="n">
        <v>23.6</v>
      </c>
      <c r="Z326" s="28" t="n">
        <f aca="false">X326*Y326</f>
        <v>9.44</v>
      </c>
    </row>
    <row r="327" customFormat="false" ht="15" hidden="false" customHeight="false" outlineLevel="0" collapsed="false">
      <c r="V327" s="55"/>
      <c r="W327" s="56"/>
      <c r="X327" s="57"/>
      <c r="Z327" s="86" t="n">
        <f aca="false">SUM(Z325:Z326)</f>
        <v>21.016</v>
      </c>
    </row>
    <row r="328" customFormat="false" ht="15" hidden="false" customHeight="false" outlineLevel="0" collapsed="false">
      <c r="R328" s="87" t="s">
        <v>654</v>
      </c>
      <c r="V328" s="55"/>
      <c r="W328" s="56"/>
      <c r="X328" s="57"/>
      <c r="Z328" s="28"/>
    </row>
    <row r="329" customFormat="false" ht="15" hidden="false" customHeight="false" outlineLevel="0" collapsed="false">
      <c r="R329" s="1" t="s">
        <v>678</v>
      </c>
      <c r="V329" s="55" t="s">
        <v>297</v>
      </c>
      <c r="X329" s="57" t="n">
        <v>0.26</v>
      </c>
      <c r="Y329" s="28" t="n">
        <v>2.64</v>
      </c>
      <c r="Z329" s="28" t="n">
        <f aca="false">X329*Y329</f>
        <v>0.6864</v>
      </c>
    </row>
    <row r="330" customFormat="false" ht="15" hidden="false" customHeight="false" outlineLevel="0" collapsed="false">
      <c r="R330" s="1" t="s">
        <v>302</v>
      </c>
      <c r="V330" s="55" t="s">
        <v>297</v>
      </c>
      <c r="X330" s="57" t="n">
        <v>0.16</v>
      </c>
      <c r="Y330" s="28" t="n">
        <v>5.51</v>
      </c>
      <c r="Z330" s="28" t="n">
        <f aca="false">X330*Y330</f>
        <v>0.8816</v>
      </c>
    </row>
    <row r="331" customFormat="false" ht="15" hidden="false" customHeight="false" outlineLevel="0" collapsed="false">
      <c r="R331" s="1" t="s">
        <v>670</v>
      </c>
      <c r="V331" s="55" t="s">
        <v>306</v>
      </c>
      <c r="X331" s="57" t="n">
        <v>3.35</v>
      </c>
      <c r="Y331" s="28" t="n">
        <v>5.8</v>
      </c>
      <c r="Z331" s="28" t="n">
        <f aca="false">X331*Y331</f>
        <v>19.43</v>
      </c>
    </row>
    <row r="332" customFormat="false" ht="15" hidden="false" customHeight="false" outlineLevel="0" collapsed="false">
      <c r="V332" s="55"/>
      <c r="X332" s="57"/>
      <c r="Y332" s="28"/>
      <c r="Z332" s="86" t="n">
        <f aca="false">SUM(Z329:Z331)</f>
        <v>20.998</v>
      </c>
    </row>
    <row r="333" customFormat="false" ht="15" hidden="false" customHeight="false" outlineLevel="0" collapsed="false">
      <c r="R333" s="87" t="s">
        <v>310</v>
      </c>
    </row>
    <row r="334" customFormat="false" ht="15" hidden="false" customHeight="false" outlineLevel="0" collapsed="false">
      <c r="R334" s="1" t="s">
        <v>311</v>
      </c>
      <c r="V334" s="55" t="s">
        <v>312</v>
      </c>
      <c r="X334" s="57" t="n">
        <v>3</v>
      </c>
      <c r="Y334" s="28" t="n">
        <f aca="false">Z327</f>
        <v>21.016</v>
      </c>
      <c r="Z334" s="28" t="n">
        <f aca="false">X334%*Y334</f>
        <v>0.63048</v>
      </c>
    </row>
    <row r="335" customFormat="false" ht="15" hidden="false" customHeight="false" outlineLevel="0" collapsed="false">
      <c r="Q335" s="60"/>
      <c r="R335" s="60"/>
      <c r="S335" s="60"/>
      <c r="T335" s="60"/>
      <c r="U335" s="60"/>
      <c r="V335" s="60"/>
      <c r="W335" s="60"/>
      <c r="X335" s="60"/>
      <c r="Y335" s="60"/>
      <c r="Z335" s="89" t="n">
        <f aca="false">SUM(Z334)</f>
        <v>0.63048</v>
      </c>
    </row>
    <row r="337" customFormat="false" ht="15" hidden="false" customHeight="false" outlineLevel="0" collapsed="false">
      <c r="Q337" s="82" t="s">
        <v>278</v>
      </c>
      <c r="R337" s="82"/>
      <c r="S337" s="82" t="s">
        <v>688</v>
      </c>
      <c r="T337" s="82"/>
    </row>
    <row r="338" customFormat="false" ht="15" hidden="false" customHeight="false" outlineLevel="0" collapsed="false">
      <c r="Q338" s="82" t="s">
        <v>279</v>
      </c>
      <c r="R338" s="82" t="s">
        <v>679</v>
      </c>
      <c r="S338" s="84" t="s">
        <v>281</v>
      </c>
      <c r="T338" s="85" t="n">
        <v>250</v>
      </c>
      <c r="U338" s="84" t="s">
        <v>282</v>
      </c>
      <c r="V338" s="85" t="n">
        <f aca="false">T338</f>
        <v>250</v>
      </c>
      <c r="W338" s="82" t="s">
        <v>283</v>
      </c>
      <c r="Y338" s="84" t="s">
        <v>297</v>
      </c>
      <c r="Z338" s="86" t="n">
        <f aca="false">Z343+Z347+Z351</f>
        <v>5.5639628445</v>
      </c>
    </row>
    <row r="339" customFormat="false" ht="15" hidden="false" customHeight="false" outlineLevel="0" collapsed="false">
      <c r="Q339" s="82" t="s">
        <v>284</v>
      </c>
      <c r="R339" s="82" t="s">
        <v>285</v>
      </c>
      <c r="V339" s="84" t="s">
        <v>123</v>
      </c>
      <c r="W339" s="84" t="s">
        <v>286</v>
      </c>
      <c r="X339" s="84" t="s">
        <v>287</v>
      </c>
      <c r="Y339" s="84" t="s">
        <v>288</v>
      </c>
      <c r="Z339" s="84" t="s">
        <v>289</v>
      </c>
    </row>
    <row r="340" customFormat="false" ht="15" hidden="false" customHeight="false" outlineLevel="0" collapsed="false">
      <c r="R340" s="87" t="s">
        <v>290</v>
      </c>
      <c r="W340" s="56"/>
    </row>
    <row r="341" customFormat="false" ht="15" hidden="false" customHeight="false" outlineLevel="0" collapsed="false">
      <c r="R341" s="1" t="s">
        <v>291</v>
      </c>
      <c r="V341" s="55" t="s">
        <v>292</v>
      </c>
      <c r="W341" s="56" t="n">
        <v>1</v>
      </c>
      <c r="X341" s="57" t="n">
        <f aca="false">W341*8/$T$338</f>
        <v>0.032</v>
      </c>
      <c r="Y341" s="28" t="n">
        <v>28.94</v>
      </c>
      <c r="Z341" s="28" t="n">
        <f aca="false">X341*Y341</f>
        <v>0.92608</v>
      </c>
    </row>
    <row r="342" customFormat="false" ht="15" hidden="false" customHeight="false" outlineLevel="0" collapsed="false">
      <c r="R342" s="1" t="s">
        <v>680</v>
      </c>
      <c r="V342" s="55" t="s">
        <v>292</v>
      </c>
      <c r="W342" s="56" t="n">
        <v>1</v>
      </c>
      <c r="X342" s="57" t="n">
        <f aca="false">W342*8/$T$338</f>
        <v>0.032</v>
      </c>
      <c r="Y342" s="28" t="n">
        <v>23.6</v>
      </c>
      <c r="Z342" s="28" t="n">
        <f aca="false">X342*Y342</f>
        <v>0.7552</v>
      </c>
    </row>
    <row r="343" customFormat="false" ht="15" hidden="false" customHeight="false" outlineLevel="0" collapsed="false">
      <c r="V343" s="55"/>
      <c r="W343" s="56"/>
      <c r="Z343" s="86" t="n">
        <f aca="false">SUM(Z341:Z342)</f>
        <v>1.68128</v>
      </c>
    </row>
    <row r="344" customFormat="false" ht="15" hidden="false" customHeight="false" outlineLevel="0" collapsed="false">
      <c r="R344" s="87" t="s">
        <v>295</v>
      </c>
      <c r="V344" s="55"/>
      <c r="W344" s="56"/>
      <c r="X344" s="99"/>
    </row>
    <row r="345" customFormat="false" ht="15" hidden="false" customHeight="false" outlineLevel="0" collapsed="false">
      <c r="R345" s="1" t="s">
        <v>296</v>
      </c>
      <c r="V345" s="55" t="s">
        <v>297</v>
      </c>
      <c r="W345" s="56"/>
      <c r="X345" s="99" t="n">
        <v>0.03</v>
      </c>
      <c r="Y345" s="28" t="n">
        <v>2.64</v>
      </c>
      <c r="Z345" s="28" t="n">
        <f aca="false">X345*Y345</f>
        <v>0.0792</v>
      </c>
    </row>
    <row r="346" customFormat="false" ht="15" hidden="false" customHeight="false" outlineLevel="0" collapsed="false">
      <c r="R346" s="1" t="s">
        <v>681</v>
      </c>
      <c r="V346" s="55" t="s">
        <v>297</v>
      </c>
      <c r="W346" s="56"/>
      <c r="X346" s="99" t="n">
        <v>1.05</v>
      </c>
      <c r="Y346" s="28" t="n">
        <f aca="false">1012.71*3.379/1000</f>
        <v>3.42194709</v>
      </c>
      <c r="Z346" s="28" t="n">
        <f aca="false">X346*Y346</f>
        <v>3.5930444445</v>
      </c>
    </row>
    <row r="347" customFormat="false" ht="15" hidden="false" customHeight="false" outlineLevel="0" collapsed="false">
      <c r="V347" s="55"/>
      <c r="W347" s="56"/>
      <c r="Z347" s="86" t="n">
        <f aca="false">SUM(Z345:Z346)</f>
        <v>3.6722444445</v>
      </c>
    </row>
    <row r="348" customFormat="false" ht="15" hidden="false" customHeight="false" outlineLevel="0" collapsed="false">
      <c r="R348" s="87" t="s">
        <v>318</v>
      </c>
      <c r="V348" s="55"/>
      <c r="W348" s="56"/>
    </row>
    <row r="349" customFormat="false" ht="15" hidden="false" customHeight="false" outlineLevel="0" collapsed="false">
      <c r="R349" s="1" t="s">
        <v>311</v>
      </c>
      <c r="V349" s="55" t="s">
        <v>312</v>
      </c>
      <c r="X349" s="57" t="n">
        <v>3</v>
      </c>
      <c r="Y349" s="28" t="n">
        <f aca="false">Z343</f>
        <v>1.68128</v>
      </c>
      <c r="Z349" s="28" t="n">
        <f aca="false">X349%*Y349</f>
        <v>0.0504384</v>
      </c>
    </row>
    <row r="350" customFormat="false" ht="15" hidden="false" customHeight="false" outlineLevel="0" collapsed="false">
      <c r="R350" s="1" t="s">
        <v>682</v>
      </c>
      <c r="V350" s="55" t="s">
        <v>292</v>
      </c>
      <c r="W350" s="56" t="n">
        <v>1</v>
      </c>
      <c r="X350" s="57" t="n">
        <f aca="false">W350*8/$T$338</f>
        <v>0.032</v>
      </c>
      <c r="Y350" s="46" t="n">
        <v>5</v>
      </c>
      <c r="Z350" s="28" t="n">
        <f aca="false">X350*Y350</f>
        <v>0.16</v>
      </c>
    </row>
    <row r="351" customFormat="false" ht="15" hidden="false" customHeight="false" outlineLevel="0" collapsed="false">
      <c r="Q351" s="60"/>
      <c r="R351" s="60"/>
      <c r="S351" s="60"/>
      <c r="T351" s="60"/>
      <c r="U351" s="60"/>
      <c r="V351" s="60"/>
      <c r="W351" s="60"/>
      <c r="X351" s="60"/>
      <c r="Y351" s="60"/>
      <c r="Z351" s="89" t="n">
        <f aca="false">SUM(Z349:Z350)</f>
        <v>0.2104384</v>
      </c>
    </row>
    <row r="352" customFormat="false" ht="15" hidden="false" customHeight="false" outlineLevel="0" collapsed="false">
      <c r="Z352" s="86"/>
    </row>
    <row r="354" customFormat="false" ht="15" hidden="false" customHeight="false" outlineLevel="0" collapsed="false">
      <c r="Q354" s="82"/>
      <c r="R354" s="82"/>
      <c r="S354" s="82"/>
      <c r="T354" s="82"/>
    </row>
    <row r="355" customFormat="false" ht="15" hidden="false" customHeight="false" outlineLevel="0" collapsed="false">
      <c r="Q355" s="82"/>
      <c r="R355" s="82"/>
      <c r="S355" s="84"/>
      <c r="T355" s="85"/>
      <c r="U355" s="84"/>
      <c r="V355" s="85"/>
      <c r="W355" s="82"/>
      <c r="Y355" s="84"/>
      <c r="Z355" s="8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2:AL355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H25" activeCellId="0" sqref="H25"/>
    </sheetView>
  </sheetViews>
  <sheetFormatPr defaultColWidth="8.59765625" defaultRowHeight="15" zeroHeight="false" outlineLevelRow="0" outlineLevelCol="0"/>
  <cols>
    <col collapsed="false" customWidth="true" hidden="false" outlineLevel="0" max="12" min="12" style="1" width="9.3"/>
    <col collapsed="false" customWidth="true" hidden="false" outlineLevel="0" max="20" min="20" style="1" width="9.3"/>
  </cols>
  <sheetData>
    <row r="2" customFormat="false" ht="15" hidden="false" customHeight="false" outlineLevel="0" collapsed="false">
      <c r="M2" s="157" t="s">
        <v>1378</v>
      </c>
      <c r="N2" s="157" t="n">
        <f aca="false">'Datos iniciales '!B8</f>
        <v>0</v>
      </c>
    </row>
    <row r="3" customFormat="false" ht="15" hidden="false" customHeight="false" outlineLevel="0" collapsed="false">
      <c r="E3" s="36" t="s">
        <v>1220</v>
      </c>
      <c r="F3" s="36" t="s">
        <v>1221</v>
      </c>
      <c r="G3" s="36" t="s">
        <v>123</v>
      </c>
      <c r="H3" s="36" t="s">
        <v>124</v>
      </c>
      <c r="I3" s="36" t="s">
        <v>125</v>
      </c>
      <c r="J3" s="36" t="s">
        <v>454</v>
      </c>
      <c r="K3" s="36" t="s">
        <v>455</v>
      </c>
      <c r="M3" s="157"/>
      <c r="N3" s="157"/>
    </row>
    <row r="4" customFormat="false" ht="15" hidden="false" customHeight="false" outlineLevel="0" collapsed="false">
      <c r="G4" s="158"/>
      <c r="H4" s="71"/>
      <c r="I4" s="28"/>
      <c r="K4" s="1" t="n">
        <f aca="false">SUM(J4:J37)</f>
        <v>0</v>
      </c>
      <c r="M4" s="157" t="s">
        <v>1369</v>
      </c>
      <c r="N4" s="157" t="e">
        <f aca="false">K4/N2</f>
        <v>#DIV/0!</v>
      </c>
    </row>
    <row r="6" customFormat="false" ht="15" hidden="false" customHeight="false" outlineLevel="0" collapsed="false">
      <c r="A6" s="26"/>
      <c r="B6" s="14"/>
      <c r="G6" s="14"/>
      <c r="Q6" s="14" t="s">
        <v>278</v>
      </c>
      <c r="R6" s="14"/>
      <c r="S6" s="14" t="s">
        <v>1372</v>
      </c>
      <c r="T6" s="14"/>
    </row>
    <row r="7" customFormat="false" ht="15" hidden="false" customHeight="false" outlineLevel="0" collapsed="false">
      <c r="F7" s="28"/>
      <c r="I7" s="28"/>
      <c r="K7" s="28"/>
      <c r="Q7" s="14" t="s">
        <v>279</v>
      </c>
      <c r="R7" s="14" t="s">
        <v>280</v>
      </c>
      <c r="S7" s="36" t="s">
        <v>281</v>
      </c>
      <c r="T7" s="52" t="n">
        <v>500</v>
      </c>
      <c r="U7" s="36" t="s">
        <v>282</v>
      </c>
      <c r="V7" s="52" t="n">
        <f aca="false">T7</f>
        <v>500</v>
      </c>
      <c r="W7" s="14" t="s">
        <v>283</v>
      </c>
      <c r="Y7" s="36" t="s">
        <v>134</v>
      </c>
      <c r="Z7" s="53" t="n">
        <f aca="false">Z13+Z18+Z23</f>
        <v>2.89927064</v>
      </c>
    </row>
    <row r="8" customFormat="false" ht="15" hidden="false" customHeight="false" outlineLevel="0" collapsed="false">
      <c r="A8" s="26" t="s">
        <v>457</v>
      </c>
      <c r="B8" s="14"/>
      <c r="F8" s="28"/>
      <c r="J8" s="28"/>
      <c r="Q8" s="14" t="s">
        <v>284</v>
      </c>
      <c r="R8" s="14" t="s">
        <v>285</v>
      </c>
      <c r="V8" s="36" t="s">
        <v>123</v>
      </c>
      <c r="W8" s="36" t="s">
        <v>286</v>
      </c>
      <c r="X8" s="36" t="s">
        <v>287</v>
      </c>
      <c r="Y8" s="36" t="s">
        <v>288</v>
      </c>
      <c r="Z8" s="36" t="s">
        <v>289</v>
      </c>
    </row>
    <row r="9" customFormat="false" ht="15" hidden="false" customHeight="false" outlineLevel="0" collapsed="false">
      <c r="A9" s="69" t="s">
        <v>459</v>
      </c>
      <c r="E9" s="1" t="n">
        <v>1</v>
      </c>
      <c r="F9" s="28" t="n">
        <v>4.36975929978118</v>
      </c>
      <c r="G9" s="1" t="s">
        <v>204</v>
      </c>
      <c r="H9" s="1" t="n">
        <f aca="false">E9*F9*$N$2</f>
        <v>0</v>
      </c>
      <c r="I9" s="28" t="n">
        <f aca="false">Z26</f>
        <v>8.45820448</v>
      </c>
      <c r="J9" s="28" t="n">
        <f aca="false">H9*I9</f>
        <v>0</v>
      </c>
      <c r="M9" s="28"/>
      <c r="R9" s="54" t="s">
        <v>290</v>
      </c>
    </row>
    <row r="10" customFormat="false" ht="15" hidden="false" customHeight="false" outlineLevel="0" collapsed="false">
      <c r="A10" s="69" t="s">
        <v>461</v>
      </c>
      <c r="E10" s="1" t="n">
        <v>1</v>
      </c>
      <c r="F10" s="28" t="n">
        <v>0.0588183807439825</v>
      </c>
      <c r="G10" s="1" t="s">
        <v>204</v>
      </c>
      <c r="H10" s="1" t="n">
        <f aca="false">E10*F10*$N$2</f>
        <v>0</v>
      </c>
      <c r="I10" s="28" t="n">
        <f aca="false">Z42</f>
        <v>49.40498</v>
      </c>
      <c r="J10" s="28" t="n">
        <f aca="false">H10*I10</f>
        <v>0</v>
      </c>
      <c r="R10" s="1" t="s">
        <v>1374</v>
      </c>
      <c r="V10" s="55" t="s">
        <v>292</v>
      </c>
      <c r="W10" s="56" t="n">
        <v>1</v>
      </c>
      <c r="X10" s="57" t="n">
        <f aca="false">W10*8/$V$7</f>
        <v>0.016</v>
      </c>
      <c r="Y10" s="1" t="n">
        <v>28.94</v>
      </c>
      <c r="Z10" s="28" t="n">
        <f aca="false">X10*Y10</f>
        <v>0.46304</v>
      </c>
    </row>
    <row r="11" customFormat="false" ht="15" hidden="false" customHeight="false" outlineLevel="0" collapsed="false">
      <c r="A11" s="69" t="s">
        <v>463</v>
      </c>
      <c r="E11" s="1" t="n">
        <v>1</v>
      </c>
      <c r="F11" s="28" t="n">
        <v>0.269540481400438</v>
      </c>
      <c r="G11" s="1" t="s">
        <v>204</v>
      </c>
      <c r="H11" s="1" t="n">
        <f aca="false">E11*F11*$N$2</f>
        <v>0</v>
      </c>
      <c r="I11" s="28" t="n">
        <f aca="false">Z53</f>
        <v>66.2342173333333</v>
      </c>
      <c r="J11" s="28" t="n">
        <f aca="false">H11*I11</f>
        <v>0</v>
      </c>
      <c r="R11" s="1" t="s">
        <v>294</v>
      </c>
      <c r="V11" s="55" t="s">
        <v>292</v>
      </c>
      <c r="W11" s="56" t="n">
        <v>3</v>
      </c>
      <c r="X11" s="57" t="n">
        <f aca="false">W11*8/$V$7</f>
        <v>0.048</v>
      </c>
      <c r="Y11" s="1" t="n">
        <v>20.51</v>
      </c>
      <c r="Z11" s="28" t="n">
        <f aca="false">X11*Y11</f>
        <v>0.98448</v>
      </c>
    </row>
    <row r="12" customFormat="false" ht="15" hidden="false" customHeight="false" outlineLevel="0" collapsed="false">
      <c r="A12" s="69" t="s">
        <v>465</v>
      </c>
      <c r="E12" s="1" t="n">
        <v>1</v>
      </c>
      <c r="F12" s="28" t="n">
        <v>2.57973012399708</v>
      </c>
      <c r="G12" s="1" t="s">
        <v>204</v>
      </c>
      <c r="H12" s="1" t="n">
        <f aca="false">E12*F12*$N$2</f>
        <v>0</v>
      </c>
      <c r="I12" s="28" t="n">
        <f aca="false">Z70</f>
        <v>19.29963</v>
      </c>
      <c r="J12" s="28" t="n">
        <f aca="false">H12*I12</f>
        <v>0</v>
      </c>
      <c r="K12" s="158"/>
      <c r="R12" s="1" t="s">
        <v>651</v>
      </c>
      <c r="V12" s="55" t="s">
        <v>292</v>
      </c>
      <c r="W12" s="56" t="n">
        <v>0.1</v>
      </c>
      <c r="X12" s="57" t="n">
        <f aca="false">W12*8/$V$7</f>
        <v>0.0016</v>
      </c>
      <c r="Y12" s="1" t="n">
        <v>34.73</v>
      </c>
      <c r="Z12" s="28" t="n">
        <f aca="false">X12*Y12</f>
        <v>0.055568</v>
      </c>
    </row>
    <row r="13" customFormat="false" ht="15" hidden="false" customHeight="false" outlineLevel="0" collapsed="false">
      <c r="A13" s="69" t="s">
        <v>1379</v>
      </c>
      <c r="E13" s="1" t="n">
        <v>1</v>
      </c>
      <c r="F13" s="28" t="n">
        <v>2.05368344274252</v>
      </c>
      <c r="G13" s="1" t="s">
        <v>134</v>
      </c>
      <c r="H13" s="1" t="n">
        <f aca="false">E13*F13*$N$2</f>
        <v>0</v>
      </c>
      <c r="I13" s="28" t="n">
        <f aca="false">Z87</f>
        <v>7.930344</v>
      </c>
      <c r="J13" s="28" t="n">
        <f aca="false">H13*I13</f>
        <v>0</v>
      </c>
      <c r="Z13" s="53" t="n">
        <f aca="false">SUM(Z10:Z12)</f>
        <v>1.503088</v>
      </c>
    </row>
    <row r="14" customFormat="false" ht="15" hidden="false" customHeight="false" outlineLevel="0" collapsed="false">
      <c r="A14" s="69" t="s">
        <v>469</v>
      </c>
      <c r="E14" s="1" t="n">
        <v>1</v>
      </c>
      <c r="F14" s="28" t="n">
        <v>2.3110594456601</v>
      </c>
      <c r="G14" s="1" t="s">
        <v>134</v>
      </c>
      <c r="H14" s="1" t="n">
        <f aca="false">E14*F14*$N$2</f>
        <v>0</v>
      </c>
      <c r="I14" s="28" t="n">
        <f aca="false">Z102</f>
        <v>12.11253</v>
      </c>
      <c r="J14" s="28" t="n">
        <f aca="false">H14*I14</f>
        <v>0</v>
      </c>
      <c r="K14" s="221"/>
      <c r="R14" s="54" t="s">
        <v>654</v>
      </c>
    </row>
    <row r="15" customFormat="false" ht="15" hidden="false" customHeight="false" outlineLevel="0" collapsed="false">
      <c r="A15" s="69" t="s">
        <v>471</v>
      </c>
      <c r="E15" s="1" t="n">
        <v>1</v>
      </c>
      <c r="F15" s="28" t="n">
        <v>2.3110594456601</v>
      </c>
      <c r="G15" s="1" t="s">
        <v>204</v>
      </c>
      <c r="H15" s="1" t="n">
        <f aca="false">E15*F15*$N$2</f>
        <v>0</v>
      </c>
      <c r="I15" s="28" t="n">
        <f aca="false">Z113</f>
        <v>22.9100074666667</v>
      </c>
      <c r="J15" s="28" t="n">
        <f aca="false">H15*I15</f>
        <v>0</v>
      </c>
      <c r="R15" s="1" t="s">
        <v>302</v>
      </c>
      <c r="V15" s="55" t="s">
        <v>297</v>
      </c>
      <c r="X15" s="57" t="n">
        <v>0.005</v>
      </c>
      <c r="Y15" s="1" t="n">
        <v>5.51</v>
      </c>
      <c r="Z15" s="28" t="n">
        <f aca="false">X15*Y15</f>
        <v>0.02755</v>
      </c>
    </row>
    <row r="16" customFormat="false" ht="15" hidden="false" customHeight="false" outlineLevel="0" collapsed="false">
      <c r="A16" s="26" t="s">
        <v>476</v>
      </c>
      <c r="F16" s="28"/>
      <c r="R16" s="1" t="s">
        <v>1375</v>
      </c>
      <c r="S16" s="222"/>
      <c r="T16" s="222"/>
      <c r="U16" s="222"/>
      <c r="V16" s="55" t="s">
        <v>308</v>
      </c>
      <c r="W16" s="222"/>
      <c r="X16" s="57" t="n">
        <v>0.025</v>
      </c>
      <c r="Y16" s="28" t="n">
        <v>38.9</v>
      </c>
      <c r="Z16" s="28" t="n">
        <f aca="false">X16*Y16</f>
        <v>0.9725</v>
      </c>
    </row>
    <row r="17" customFormat="false" ht="15" hidden="false" customHeight="false" outlineLevel="0" collapsed="false">
      <c r="A17" s="1" t="s">
        <v>484</v>
      </c>
      <c r="E17" s="1" t="n">
        <v>1</v>
      </c>
      <c r="F17" s="28" t="n">
        <v>1</v>
      </c>
      <c r="G17" s="1" t="s">
        <v>204</v>
      </c>
      <c r="H17" s="1" t="n">
        <f aca="false">E17*F17*$N$2</f>
        <v>0</v>
      </c>
      <c r="I17" s="28" t="n">
        <f aca="false">Z126</f>
        <v>238.3435744</v>
      </c>
      <c r="J17" s="28" t="n">
        <f aca="false">H17*I17</f>
        <v>0</v>
      </c>
      <c r="R17" s="1" t="s">
        <v>309</v>
      </c>
      <c r="V17" s="55" t="s">
        <v>306</v>
      </c>
      <c r="X17" s="57" t="n">
        <v>0.02</v>
      </c>
      <c r="Y17" s="28" t="n">
        <v>5.8</v>
      </c>
      <c r="Z17" s="28" t="n">
        <f aca="false">X17*Y17</f>
        <v>0.116</v>
      </c>
    </row>
    <row r="18" customFormat="false" ht="15" hidden="false" customHeight="false" outlineLevel="0" collapsed="false">
      <c r="A18" s="15" t="s">
        <v>486</v>
      </c>
      <c r="F18" s="28"/>
      <c r="Z18" s="53" t="n">
        <f aca="false">SUM(Z15:Z17)</f>
        <v>1.11605</v>
      </c>
    </row>
    <row r="19" customFormat="false" ht="16.4" hidden="false" customHeight="false" outlineLevel="0" collapsed="false">
      <c r="A19" s="69" t="s">
        <v>488</v>
      </c>
      <c r="B19" s="69"/>
      <c r="C19" s="69"/>
      <c r="D19" s="69"/>
      <c r="E19" s="69" t="n">
        <v>1</v>
      </c>
      <c r="F19" s="28" t="n">
        <v>0.884609773887673</v>
      </c>
      <c r="G19" s="1" t="s">
        <v>134</v>
      </c>
      <c r="H19" s="1" t="n">
        <f aca="false">E19*F19*$N$2</f>
        <v>0</v>
      </c>
      <c r="I19" s="223" t="n">
        <f aca="false">Z152</f>
        <v>39.6208818181818</v>
      </c>
      <c r="J19" s="224" t="n">
        <f aca="false">H19*I19</f>
        <v>0</v>
      </c>
      <c r="R19" s="54" t="s">
        <v>310</v>
      </c>
    </row>
    <row r="20" customFormat="false" ht="15" hidden="false" customHeight="false" outlineLevel="0" collapsed="false">
      <c r="A20" s="15" t="s">
        <v>490</v>
      </c>
      <c r="F20" s="28"/>
      <c r="I20" s="158"/>
      <c r="J20" s="28"/>
      <c r="K20" s="158"/>
      <c r="R20" s="1" t="s">
        <v>311</v>
      </c>
      <c r="V20" s="55" t="s">
        <v>312</v>
      </c>
      <c r="X20" s="57" t="n">
        <v>3</v>
      </c>
      <c r="Y20" s="28" t="n">
        <f aca="false">Z13</f>
        <v>1.503088</v>
      </c>
      <c r="Z20" s="28" t="n">
        <f aca="false">X20%*Y20</f>
        <v>0.04509264</v>
      </c>
    </row>
    <row r="21" customFormat="false" ht="16.4" hidden="false" customHeight="false" outlineLevel="0" collapsed="false">
      <c r="A21" s="1" t="s">
        <v>492</v>
      </c>
      <c r="E21" s="1" t="n">
        <v>1</v>
      </c>
      <c r="F21" s="28" t="n">
        <v>0.0510576221735959</v>
      </c>
      <c r="G21" s="1" t="s">
        <v>134</v>
      </c>
      <c r="H21" s="1" t="n">
        <f aca="false">E21*F21*$N$2</f>
        <v>0</v>
      </c>
      <c r="I21" s="208" t="n">
        <f aca="false">Z171</f>
        <v>27.126394</v>
      </c>
      <c r="J21" s="28" t="n">
        <f aca="false">H21*I21</f>
        <v>0</v>
      </c>
      <c r="K21" s="221"/>
      <c r="R21" s="1" t="s">
        <v>1376</v>
      </c>
      <c r="V21" s="55" t="s">
        <v>338</v>
      </c>
      <c r="W21" s="56" t="n">
        <v>1</v>
      </c>
      <c r="X21" s="57" t="n">
        <f aca="false">W21*8/$V$7</f>
        <v>0.016</v>
      </c>
      <c r="Y21" s="28" t="n">
        <v>9.69</v>
      </c>
      <c r="Z21" s="28" t="n">
        <f aca="false">X21*Y21</f>
        <v>0.15504</v>
      </c>
    </row>
    <row r="22" customFormat="false" ht="15" hidden="false" customHeight="false" outlineLevel="0" collapsed="false">
      <c r="A22" s="15" t="s">
        <v>1373</v>
      </c>
      <c r="F22" s="28"/>
      <c r="I22" s="158"/>
      <c r="J22" s="28"/>
      <c r="K22" s="221"/>
      <c r="R22" s="1" t="s">
        <v>1377</v>
      </c>
      <c r="V22" s="55" t="s">
        <v>145</v>
      </c>
      <c r="X22" s="1" t="n">
        <v>0.008</v>
      </c>
      <c r="Y22" s="57" t="n">
        <v>10</v>
      </c>
      <c r="Z22" s="28" t="n">
        <f aca="false">X22*Y22</f>
        <v>0.08</v>
      </c>
    </row>
    <row r="23" customFormat="false" ht="15" hidden="false" customHeight="false" outlineLevel="0" collapsed="false">
      <c r="A23" s="15" t="s">
        <v>495</v>
      </c>
      <c r="F23" s="28"/>
      <c r="I23" s="158"/>
      <c r="J23" s="28"/>
      <c r="Q23" s="60"/>
      <c r="R23" s="60"/>
      <c r="S23" s="60"/>
      <c r="T23" s="60"/>
      <c r="U23" s="60"/>
      <c r="V23" s="60"/>
      <c r="W23" s="60"/>
      <c r="X23" s="60"/>
      <c r="Y23" s="80"/>
      <c r="Z23" s="61" t="n">
        <f aca="false">SUM(Z20:Z22)</f>
        <v>0.28013264</v>
      </c>
    </row>
    <row r="24" customFormat="false" ht="16.4" hidden="false" customHeight="false" outlineLevel="0" collapsed="false">
      <c r="A24" s="1" t="s">
        <v>497</v>
      </c>
      <c r="E24" s="1" t="n">
        <v>1</v>
      </c>
      <c r="F24" s="28" t="n">
        <v>0.632312180889861</v>
      </c>
      <c r="G24" s="1" t="s">
        <v>204</v>
      </c>
      <c r="H24" s="1" t="n">
        <f aca="false">E24*F24*$N$2</f>
        <v>0</v>
      </c>
      <c r="I24" s="208" t="n">
        <f aca="false">Z190</f>
        <v>426.397544</v>
      </c>
      <c r="J24" s="28" t="n">
        <f aca="false">H24*I24</f>
        <v>0</v>
      </c>
    </row>
    <row r="25" customFormat="false" ht="16.4" hidden="false" customHeight="false" outlineLevel="0" collapsed="false">
      <c r="A25" s="1" t="s">
        <v>499</v>
      </c>
      <c r="E25" s="1" t="n">
        <v>1</v>
      </c>
      <c r="F25" s="28"/>
      <c r="G25" s="158" t="s">
        <v>297</v>
      </c>
      <c r="H25" s="229" t="n">
        <f aca="false">H24*40</f>
        <v>0</v>
      </c>
      <c r="I25" s="208" t="n">
        <f aca="false">Z229</f>
        <v>5.5639628445</v>
      </c>
      <c r="J25" s="28" t="n">
        <f aca="false">H25*I25</f>
        <v>0</v>
      </c>
      <c r="K25" s="158" t="e">
        <f aca="false">H25/H24</f>
        <v>#DIV/0!</v>
      </c>
      <c r="Q25" s="14" t="s">
        <v>278</v>
      </c>
      <c r="R25" s="14"/>
      <c r="S25" s="14" t="s">
        <v>459</v>
      </c>
      <c r="T25" s="14"/>
      <c r="AC25" s="14"/>
      <c r="AD25" s="14"/>
      <c r="AE25" s="14"/>
      <c r="AF25" s="14"/>
      <c r="AG25" s="14"/>
      <c r="AH25" s="14"/>
      <c r="AI25" s="14"/>
      <c r="AJ25" s="14"/>
      <c r="AK25" s="14"/>
    </row>
    <row r="26" customFormat="false" ht="15" hidden="false" customHeight="false" outlineLevel="0" collapsed="false">
      <c r="A26" s="226" t="s">
        <v>509</v>
      </c>
      <c r="F26" s="28"/>
      <c r="G26" s="158"/>
      <c r="I26" s="158"/>
      <c r="J26" s="28"/>
      <c r="Q26" s="14" t="s">
        <v>279</v>
      </c>
      <c r="R26" s="14" t="s">
        <v>417</v>
      </c>
      <c r="S26" s="36" t="s">
        <v>281</v>
      </c>
      <c r="T26" s="52" t="n">
        <v>250</v>
      </c>
      <c r="U26" s="36" t="s">
        <v>282</v>
      </c>
      <c r="V26" s="52" t="n">
        <f aca="false">T26</f>
        <v>250</v>
      </c>
      <c r="W26" s="14" t="s">
        <v>283</v>
      </c>
      <c r="Y26" s="36" t="s">
        <v>204</v>
      </c>
      <c r="Z26" s="53" t="n">
        <f aca="false">Z32+Z36</f>
        <v>8.45820448</v>
      </c>
      <c r="AC26" s="14"/>
      <c r="AD26" s="14"/>
      <c r="AE26" s="36"/>
      <c r="AF26" s="52"/>
      <c r="AG26" s="36"/>
      <c r="AH26" s="52"/>
      <c r="AI26" s="14"/>
      <c r="AK26" s="36"/>
      <c r="AL26" s="53"/>
    </row>
    <row r="27" customFormat="false" ht="16.4" hidden="false" customHeight="false" outlineLevel="0" collapsed="false">
      <c r="A27" s="1" t="s">
        <v>511</v>
      </c>
      <c r="E27" s="1" t="n">
        <v>1</v>
      </c>
      <c r="F27" s="28" t="n">
        <v>0.120204230488694</v>
      </c>
      <c r="G27" s="158" t="s">
        <v>204</v>
      </c>
      <c r="H27" s="1" t="n">
        <f aca="false">E27*F27*$N$2</f>
        <v>0</v>
      </c>
      <c r="I27" s="208" t="n">
        <f aca="false">Z245</f>
        <v>438.22652</v>
      </c>
      <c r="J27" s="28" t="n">
        <f aca="false">H27*I27</f>
        <v>0</v>
      </c>
      <c r="Q27" s="14" t="s">
        <v>284</v>
      </c>
      <c r="R27" s="14" t="s">
        <v>285</v>
      </c>
      <c r="V27" s="36" t="s">
        <v>123</v>
      </c>
      <c r="W27" s="36" t="s">
        <v>286</v>
      </c>
      <c r="X27" s="36" t="s">
        <v>287</v>
      </c>
      <c r="Y27" s="36" t="s">
        <v>288</v>
      </c>
      <c r="Z27" s="36" t="s">
        <v>289</v>
      </c>
      <c r="AC27" s="14"/>
      <c r="AD27" s="14"/>
      <c r="AH27" s="36"/>
      <c r="AI27" s="36"/>
      <c r="AJ27" s="36"/>
      <c r="AK27" s="36"/>
      <c r="AL27" s="36"/>
    </row>
    <row r="28" customFormat="false" ht="16.4" hidden="false" customHeight="false" outlineLevel="0" collapsed="false">
      <c r="A28" s="1" t="s">
        <v>513</v>
      </c>
      <c r="E28" s="1" t="n">
        <v>1</v>
      </c>
      <c r="F28" s="28" t="n">
        <v>0.6490882567469</v>
      </c>
      <c r="G28" s="158" t="s">
        <v>134</v>
      </c>
      <c r="H28" s="1" t="n">
        <f aca="false">E28*F28*$N$2</f>
        <v>0</v>
      </c>
      <c r="I28" s="208" t="n">
        <f aca="false">Z267</f>
        <v>64.02696</v>
      </c>
      <c r="J28" s="28" t="n">
        <f aca="false">H28*I28</f>
        <v>0</v>
      </c>
      <c r="R28" s="54" t="s">
        <v>290</v>
      </c>
      <c r="AD28" s="54"/>
    </row>
    <row r="29" customFormat="false" ht="16.4" hidden="false" customHeight="false" outlineLevel="0" collapsed="false">
      <c r="A29" s="1" t="s">
        <v>515</v>
      </c>
      <c r="E29" s="1" t="n">
        <v>1</v>
      </c>
      <c r="F29" s="28"/>
      <c r="G29" s="158" t="s">
        <v>297</v>
      </c>
      <c r="H29" s="229" t="n">
        <f aca="false">H27*50</f>
        <v>0</v>
      </c>
      <c r="I29" s="208" t="n">
        <f aca="false">Z283</f>
        <v>5.5639628445</v>
      </c>
      <c r="J29" s="28" t="n">
        <f aca="false">H29*I29</f>
        <v>0</v>
      </c>
      <c r="K29" s="158" t="e">
        <f aca="false">H29/H27</f>
        <v>#DIV/0!</v>
      </c>
      <c r="R29" s="1" t="s">
        <v>651</v>
      </c>
      <c r="V29" s="55" t="s">
        <v>292</v>
      </c>
      <c r="W29" s="56" t="n">
        <v>0.1</v>
      </c>
      <c r="X29" s="57" t="n">
        <f aca="false">W29*8/$V$26</f>
        <v>0.0032</v>
      </c>
      <c r="Y29" s="1" t="n">
        <v>34.73</v>
      </c>
      <c r="Z29" s="28" t="n">
        <f aca="false">X29*Y29</f>
        <v>0.111136</v>
      </c>
      <c r="AH29" s="55"/>
      <c r="AI29" s="56"/>
      <c r="AJ29" s="57"/>
      <c r="AL29" s="28"/>
    </row>
    <row r="30" customFormat="false" ht="15" hidden="false" customHeight="false" outlineLevel="0" collapsed="false">
      <c r="A30" s="26" t="s">
        <v>517</v>
      </c>
      <c r="B30" s="14"/>
      <c r="F30" s="28"/>
      <c r="I30" s="158"/>
      <c r="J30" s="28"/>
      <c r="R30" s="1" t="s">
        <v>291</v>
      </c>
      <c r="V30" s="55" t="s">
        <v>292</v>
      </c>
      <c r="W30" s="56" t="n">
        <v>2</v>
      </c>
      <c r="X30" s="57" t="n">
        <f aca="false">W30*8/$V$26</f>
        <v>0.064</v>
      </c>
      <c r="Y30" s="28" t="n">
        <v>28.94</v>
      </c>
      <c r="Z30" s="28" t="n">
        <f aca="false">X30*Y30</f>
        <v>1.85216</v>
      </c>
      <c r="AH30" s="55"/>
      <c r="AI30" s="56"/>
      <c r="AJ30" s="57"/>
      <c r="AL30" s="28"/>
    </row>
    <row r="31" customFormat="false" ht="15" hidden="false" customHeight="false" outlineLevel="0" collapsed="false">
      <c r="A31" s="1" t="s">
        <v>519</v>
      </c>
      <c r="E31" s="1" t="n">
        <v>1</v>
      </c>
      <c r="F31" s="28" t="n">
        <v>0.0833698030634573</v>
      </c>
      <c r="G31" s="1" t="s">
        <v>204</v>
      </c>
      <c r="H31" s="1" t="n">
        <f aca="false">E31*F31*$N$2</f>
        <v>0</v>
      </c>
      <c r="I31" s="28" t="n">
        <f aca="false">Z301</f>
        <v>424.9218</v>
      </c>
      <c r="J31" s="28" t="n">
        <f aca="false">H31*I31</f>
        <v>0</v>
      </c>
      <c r="R31" s="1" t="s">
        <v>294</v>
      </c>
      <c r="V31" s="55" t="s">
        <v>292</v>
      </c>
      <c r="W31" s="56" t="n">
        <v>1</v>
      </c>
      <c r="X31" s="57" t="n">
        <f aca="false">W31*8/$V$26</f>
        <v>0.032</v>
      </c>
      <c r="Y31" s="1" t="n">
        <v>20.51</v>
      </c>
      <c r="Z31" s="28" t="n">
        <f aca="false">X31*Y31</f>
        <v>0.65632</v>
      </c>
      <c r="AL31" s="53"/>
    </row>
    <row r="32" customFormat="false" ht="15" hidden="false" customHeight="false" outlineLevel="0" collapsed="false">
      <c r="A32" s="1" t="s">
        <v>521</v>
      </c>
      <c r="E32" s="1" t="n">
        <v>1</v>
      </c>
      <c r="F32" s="28" t="n">
        <v>0.416849015317287</v>
      </c>
      <c r="G32" s="1" t="s">
        <v>134</v>
      </c>
      <c r="H32" s="1" t="n">
        <f aca="false">E32*F32*$N$2</f>
        <v>0</v>
      </c>
      <c r="I32" s="28" t="n">
        <f aca="false">Z322</f>
        <v>42.64448</v>
      </c>
      <c r="J32" s="28" t="n">
        <f aca="false">H32*I32</f>
        <v>0</v>
      </c>
      <c r="Z32" s="53" t="n">
        <f aca="false">SUM(Z29:Z31)</f>
        <v>2.619616</v>
      </c>
      <c r="AD32" s="54"/>
    </row>
    <row r="33" customFormat="false" ht="16.4" hidden="false" customHeight="false" outlineLevel="0" collapsed="false">
      <c r="A33" s="1" t="s">
        <v>523</v>
      </c>
      <c r="E33" s="1" t="n">
        <v>1</v>
      </c>
      <c r="F33" s="28"/>
      <c r="G33" s="1" t="s">
        <v>297</v>
      </c>
      <c r="H33" s="229" t="n">
        <f aca="false">H31*120</f>
        <v>0</v>
      </c>
      <c r="I33" s="28" t="n">
        <f aca="false">Z338</f>
        <v>5.5639628445</v>
      </c>
      <c r="J33" s="28" t="n">
        <f aca="false">H33*I33</f>
        <v>0</v>
      </c>
      <c r="K33" s="158" t="e">
        <f aca="false">H33/H31</f>
        <v>#DIV/0!</v>
      </c>
      <c r="R33" s="54" t="s">
        <v>310</v>
      </c>
      <c r="AH33" s="55"/>
      <c r="AJ33" s="57"/>
      <c r="AK33" s="28"/>
      <c r="AL33" s="28"/>
    </row>
    <row r="34" customFormat="false" ht="15" hidden="false" customHeight="false" outlineLevel="0" collapsed="false">
      <c r="R34" s="1" t="s">
        <v>311</v>
      </c>
      <c r="V34" s="55" t="s">
        <v>312</v>
      </c>
      <c r="X34" s="57" t="n">
        <v>3</v>
      </c>
      <c r="Y34" s="28" t="n">
        <f aca="false">Z32</f>
        <v>2.619616</v>
      </c>
      <c r="Z34" s="28" t="n">
        <f aca="false">X34%*Y34</f>
        <v>0.07858848</v>
      </c>
    </row>
    <row r="35" customFormat="false" ht="15" hidden="false" customHeight="false" outlineLevel="0" collapsed="false">
      <c r="R35" s="1" t="s">
        <v>652</v>
      </c>
      <c r="V35" s="55" t="s">
        <v>338</v>
      </c>
      <c r="W35" s="56" t="n">
        <v>1</v>
      </c>
      <c r="X35" s="57" t="n">
        <f aca="false">W35*8/$V$26</f>
        <v>0.032</v>
      </c>
      <c r="Y35" s="1" t="n">
        <v>180</v>
      </c>
      <c r="Z35" s="28" t="n">
        <f aca="false">X35*Y35</f>
        <v>5.76</v>
      </c>
    </row>
    <row r="36" customFormat="false" ht="15" hidden="false" customHeight="false" outlineLevel="0" collapsed="false">
      <c r="Q36" s="60"/>
      <c r="R36" s="60"/>
      <c r="S36" s="60"/>
      <c r="T36" s="60"/>
      <c r="U36" s="60"/>
      <c r="V36" s="60"/>
      <c r="W36" s="60"/>
      <c r="X36" s="60"/>
      <c r="Y36" s="60"/>
      <c r="Z36" s="61" t="n">
        <f aca="false">SUM(Z34:Z35)</f>
        <v>5.83858848</v>
      </c>
    </row>
    <row r="37" customFormat="false" ht="15" hidden="false" customHeight="false" outlineLevel="0" collapsed="false">
      <c r="A37" s="69"/>
      <c r="G37" s="227"/>
      <c r="H37" s="227"/>
      <c r="I37" s="208"/>
      <c r="R37" s="54"/>
      <c r="V37" s="55"/>
      <c r="W37" s="56"/>
      <c r="X37" s="57"/>
    </row>
    <row r="38" customFormat="false" ht="15" hidden="false" customHeight="false" outlineLevel="0" collapsed="false">
      <c r="Y38" s="28"/>
      <c r="Z38" s="28"/>
    </row>
    <row r="39" customFormat="false" ht="15" hidden="false" customHeight="false" outlineLevel="0" collapsed="false">
      <c r="G39" s="158"/>
      <c r="H39" s="158"/>
      <c r="I39" s="208"/>
      <c r="Y39" s="14"/>
      <c r="Z39" s="53"/>
    </row>
    <row r="40" customFormat="false" ht="15" hidden="false" customHeight="false" outlineLevel="0" collapsed="false">
      <c r="G40" s="158"/>
      <c r="H40" s="158"/>
      <c r="I40" s="208"/>
    </row>
    <row r="41" customFormat="false" ht="15" hidden="false" customHeight="false" outlineLevel="0" collapsed="false">
      <c r="Q41" s="14" t="s">
        <v>278</v>
      </c>
      <c r="R41" s="14"/>
      <c r="S41" s="14" t="s">
        <v>461</v>
      </c>
      <c r="T41" s="14"/>
    </row>
    <row r="42" customFormat="false" ht="15" hidden="false" customHeight="false" outlineLevel="0" collapsed="false">
      <c r="Q42" s="14" t="s">
        <v>279</v>
      </c>
      <c r="R42" s="14" t="s">
        <v>417</v>
      </c>
      <c r="S42" s="36" t="s">
        <v>281</v>
      </c>
      <c r="T42" s="52" t="n">
        <v>4</v>
      </c>
      <c r="U42" s="36" t="s">
        <v>282</v>
      </c>
      <c r="V42" s="52" t="n">
        <f aca="false">T42</f>
        <v>4</v>
      </c>
      <c r="W42" s="14" t="s">
        <v>283</v>
      </c>
      <c r="Y42" s="36" t="s">
        <v>204</v>
      </c>
      <c r="Z42" s="53" t="n">
        <f aca="false">Z47+Z50</f>
        <v>49.40498</v>
      </c>
    </row>
    <row r="43" customFormat="false" ht="15" hidden="false" customHeight="false" outlineLevel="0" collapsed="false">
      <c r="Q43" s="14" t="s">
        <v>284</v>
      </c>
      <c r="R43" s="14" t="s">
        <v>285</v>
      </c>
      <c r="V43" s="36" t="s">
        <v>123</v>
      </c>
      <c r="W43" s="36" t="s">
        <v>286</v>
      </c>
      <c r="X43" s="36" t="s">
        <v>287</v>
      </c>
      <c r="Y43" s="36" t="s">
        <v>288</v>
      </c>
      <c r="Z43" s="36" t="s">
        <v>289</v>
      </c>
    </row>
    <row r="44" customFormat="false" ht="15" hidden="false" customHeight="false" outlineLevel="0" collapsed="false">
      <c r="R44" s="54" t="s">
        <v>290</v>
      </c>
    </row>
    <row r="45" customFormat="false" ht="15" hidden="false" customHeight="false" outlineLevel="0" collapsed="false">
      <c r="R45" s="1" t="s">
        <v>651</v>
      </c>
      <c r="V45" s="55" t="s">
        <v>292</v>
      </c>
      <c r="W45" s="56" t="n">
        <v>0.1</v>
      </c>
      <c r="X45" s="57" t="n">
        <f aca="false">W45*8/$V$42</f>
        <v>0.2</v>
      </c>
      <c r="Y45" s="1" t="n">
        <v>34.73</v>
      </c>
      <c r="Z45" s="28" t="n">
        <f aca="false">X45*Y45</f>
        <v>6.946</v>
      </c>
    </row>
    <row r="46" customFormat="false" ht="15" hidden="false" customHeight="false" outlineLevel="0" collapsed="false">
      <c r="R46" s="1" t="s">
        <v>294</v>
      </c>
      <c r="V46" s="55" t="s">
        <v>292</v>
      </c>
      <c r="W46" s="56" t="n">
        <v>1</v>
      </c>
      <c r="X46" s="57" t="n">
        <f aca="false">W46*8/$V$42</f>
        <v>2</v>
      </c>
      <c r="Y46" s="1" t="n">
        <v>20.51</v>
      </c>
      <c r="Z46" s="28" t="n">
        <f aca="false">X46*Y46</f>
        <v>41.02</v>
      </c>
    </row>
    <row r="47" customFormat="false" ht="15" hidden="false" customHeight="false" outlineLevel="0" collapsed="false">
      <c r="V47" s="55"/>
      <c r="W47" s="56"/>
      <c r="X47" s="57"/>
      <c r="Z47" s="53" t="n">
        <f aca="false">SUM(Z45:Z46)</f>
        <v>47.966</v>
      </c>
    </row>
    <row r="48" customFormat="false" ht="15" hidden="false" customHeight="false" outlineLevel="0" collapsed="false">
      <c r="R48" s="54" t="s">
        <v>310</v>
      </c>
    </row>
    <row r="49" customFormat="false" ht="15" hidden="false" customHeight="false" outlineLevel="0" collapsed="false">
      <c r="R49" s="1" t="s">
        <v>311</v>
      </c>
      <c r="V49" s="55" t="s">
        <v>312</v>
      </c>
      <c r="X49" s="57" t="n">
        <v>3</v>
      </c>
      <c r="Y49" s="28" t="n">
        <f aca="false">Z47</f>
        <v>47.966</v>
      </c>
      <c r="Z49" s="28" t="n">
        <f aca="false">X49%*Y49</f>
        <v>1.43898</v>
      </c>
    </row>
    <row r="50" customFormat="false" ht="15" hidden="false" customHeight="false" outlineLevel="0" collapsed="false">
      <c r="Q50" s="60"/>
      <c r="R50" s="60"/>
      <c r="S50" s="60"/>
      <c r="T50" s="60"/>
      <c r="U50" s="60"/>
      <c r="V50" s="60"/>
      <c r="W50" s="60"/>
      <c r="X50" s="60"/>
      <c r="Y50" s="80"/>
      <c r="Z50" s="61" t="n">
        <f aca="false">SUM(Z49)</f>
        <v>1.43898</v>
      </c>
    </row>
    <row r="52" customFormat="false" ht="15" hidden="false" customHeight="false" outlineLevel="0" collapsed="false">
      <c r="Q52" s="14" t="s">
        <v>278</v>
      </c>
      <c r="R52" s="14"/>
      <c r="S52" s="14" t="s">
        <v>463</v>
      </c>
      <c r="T52" s="14"/>
    </row>
    <row r="53" customFormat="false" ht="15" hidden="false" customHeight="false" outlineLevel="0" collapsed="false">
      <c r="Q53" s="14" t="s">
        <v>279</v>
      </c>
      <c r="R53" s="14" t="s">
        <v>417</v>
      </c>
      <c r="S53" s="36" t="s">
        <v>281</v>
      </c>
      <c r="T53" s="52" t="n">
        <v>30</v>
      </c>
      <c r="U53" s="36" t="s">
        <v>282</v>
      </c>
      <c r="V53" s="52" t="n">
        <f aca="false">T53</f>
        <v>30</v>
      </c>
      <c r="W53" s="14" t="s">
        <v>283</v>
      </c>
      <c r="Y53" s="36" t="s">
        <v>204</v>
      </c>
      <c r="Z53" s="53" t="n">
        <f aca="false">Z59+Z63+Z67</f>
        <v>66.2342173333333</v>
      </c>
    </row>
    <row r="54" customFormat="false" ht="15" hidden="false" customHeight="false" outlineLevel="0" collapsed="false">
      <c r="Q54" s="14" t="s">
        <v>284</v>
      </c>
      <c r="R54" s="14" t="s">
        <v>285</v>
      </c>
      <c r="V54" s="36" t="s">
        <v>123</v>
      </c>
      <c r="W54" s="36" t="s">
        <v>286</v>
      </c>
      <c r="X54" s="36" t="s">
        <v>287</v>
      </c>
      <c r="Y54" s="36" t="s">
        <v>288</v>
      </c>
      <c r="Z54" s="36" t="s">
        <v>289</v>
      </c>
    </row>
    <row r="55" customFormat="false" ht="15" hidden="false" customHeight="false" outlineLevel="0" collapsed="false">
      <c r="R55" s="54" t="s">
        <v>290</v>
      </c>
    </row>
    <row r="56" customFormat="false" ht="15" hidden="false" customHeight="false" outlineLevel="0" collapsed="false">
      <c r="R56" s="1" t="s">
        <v>651</v>
      </c>
      <c r="V56" s="55" t="s">
        <v>292</v>
      </c>
      <c r="W56" s="56" t="n">
        <v>0.1</v>
      </c>
      <c r="X56" s="57" t="n">
        <f aca="false">W56*8/$V$53</f>
        <v>0.0266666666666667</v>
      </c>
      <c r="Y56" s="1" t="n">
        <v>34.73</v>
      </c>
      <c r="Z56" s="28" t="n">
        <f aca="false">X56*Y56</f>
        <v>0.926133333333333</v>
      </c>
    </row>
    <row r="57" customFormat="false" ht="15" hidden="false" customHeight="false" outlineLevel="0" collapsed="false">
      <c r="R57" s="1" t="s">
        <v>294</v>
      </c>
      <c r="V57" s="55" t="s">
        <v>292</v>
      </c>
      <c r="W57" s="56" t="n">
        <v>1</v>
      </c>
      <c r="X57" s="57" t="n">
        <f aca="false">W57*8/$V$53</f>
        <v>0.266666666666667</v>
      </c>
      <c r="Y57" s="1" t="n">
        <v>20.51</v>
      </c>
      <c r="Z57" s="28" t="n">
        <f aca="false">X57*Y57</f>
        <v>5.46933333333333</v>
      </c>
    </row>
    <row r="58" customFormat="false" ht="15" hidden="false" customHeight="false" outlineLevel="0" collapsed="false">
      <c r="R58" s="1" t="s">
        <v>653</v>
      </c>
      <c r="V58" s="55" t="s">
        <v>292</v>
      </c>
      <c r="W58" s="56" t="n">
        <v>1</v>
      </c>
      <c r="X58" s="57" t="n">
        <f aca="false">W58*8/$V$53</f>
        <v>0.266666666666667</v>
      </c>
      <c r="Y58" s="1" t="n">
        <v>29.94</v>
      </c>
      <c r="Z58" s="28" t="n">
        <f aca="false">X58*Y58</f>
        <v>7.984</v>
      </c>
    </row>
    <row r="59" customFormat="false" ht="15" hidden="false" customHeight="false" outlineLevel="0" collapsed="false">
      <c r="V59" s="55"/>
      <c r="W59" s="56"/>
      <c r="X59" s="57"/>
      <c r="Z59" s="53" t="n">
        <f aca="false">SUM(Z56:Z58)</f>
        <v>14.3794666666667</v>
      </c>
    </row>
    <row r="60" customFormat="false" ht="15" hidden="false" customHeight="false" outlineLevel="0" collapsed="false">
      <c r="R60" s="54" t="s">
        <v>654</v>
      </c>
      <c r="V60" s="55"/>
      <c r="W60" s="56"/>
      <c r="X60" s="57"/>
      <c r="Z60" s="28"/>
    </row>
    <row r="61" customFormat="false" ht="15" hidden="false" customHeight="false" outlineLevel="0" collapsed="false">
      <c r="R61" s="1" t="s">
        <v>655</v>
      </c>
      <c r="V61" s="55" t="s">
        <v>204</v>
      </c>
      <c r="W61" s="56"/>
      <c r="X61" s="57" t="n">
        <v>1.05</v>
      </c>
      <c r="Y61" s="46" t="n">
        <v>44.07</v>
      </c>
      <c r="Z61" s="28" t="n">
        <f aca="false">X61*Y61</f>
        <v>46.2735</v>
      </c>
    </row>
    <row r="62" customFormat="false" ht="15" hidden="false" customHeight="false" outlineLevel="0" collapsed="false">
      <c r="R62" s="1" t="s">
        <v>656</v>
      </c>
      <c r="V62" s="55" t="s">
        <v>204</v>
      </c>
      <c r="W62" s="56"/>
      <c r="X62" s="57" t="n">
        <v>0.08</v>
      </c>
      <c r="Y62" s="1" t="n">
        <v>6.14</v>
      </c>
      <c r="Z62" s="28" t="n">
        <f aca="false">X62*Y62</f>
        <v>0.4912</v>
      </c>
    </row>
    <row r="63" customFormat="false" ht="15" hidden="false" customHeight="false" outlineLevel="0" collapsed="false">
      <c r="V63" s="55"/>
      <c r="X63" s="57"/>
      <c r="Z63" s="53" t="n">
        <f aca="false">SUM(Z61:Z62)</f>
        <v>46.7647</v>
      </c>
    </row>
    <row r="64" customFormat="false" ht="15" hidden="false" customHeight="false" outlineLevel="0" collapsed="false">
      <c r="R64" s="54" t="s">
        <v>310</v>
      </c>
    </row>
    <row r="65" customFormat="false" ht="15" hidden="false" customHeight="false" outlineLevel="0" collapsed="false">
      <c r="R65" s="1" t="s">
        <v>311</v>
      </c>
      <c r="V65" s="55" t="s">
        <v>312</v>
      </c>
      <c r="X65" s="57" t="n">
        <v>3</v>
      </c>
      <c r="Y65" s="28" t="n">
        <f aca="false">Z59</f>
        <v>14.3794666666667</v>
      </c>
      <c r="Z65" s="28" t="n">
        <f aca="false">X65%*Y65</f>
        <v>0.431384</v>
      </c>
    </row>
    <row r="66" customFormat="false" ht="15" hidden="false" customHeight="false" outlineLevel="0" collapsed="false">
      <c r="R66" s="1" t="s">
        <v>657</v>
      </c>
      <c r="V66" s="55" t="s">
        <v>338</v>
      </c>
      <c r="W66" s="56" t="n">
        <v>1</v>
      </c>
      <c r="X66" s="57" t="n">
        <f aca="false">W66*8/$V$53</f>
        <v>0.266666666666667</v>
      </c>
      <c r="Y66" s="1" t="n">
        <v>17.47</v>
      </c>
      <c r="Z66" s="28" t="n">
        <f aca="false">X66*Y66</f>
        <v>4.65866666666667</v>
      </c>
    </row>
    <row r="67" customFormat="false" ht="15" hidden="false" customHeight="false" outlineLevel="0" collapsed="false">
      <c r="Q67" s="60"/>
      <c r="R67" s="60"/>
      <c r="S67" s="60"/>
      <c r="T67" s="60"/>
      <c r="U67" s="60"/>
      <c r="V67" s="60"/>
      <c r="W67" s="60"/>
      <c r="X67" s="60"/>
      <c r="Y67" s="80"/>
      <c r="Z67" s="61" t="n">
        <f aca="false">SUM(Z65:Z66)</f>
        <v>5.09005066666667</v>
      </c>
    </row>
    <row r="69" customFormat="false" ht="15" hidden="false" customHeight="false" outlineLevel="0" collapsed="false">
      <c r="Q69" s="14" t="s">
        <v>278</v>
      </c>
      <c r="R69" s="14"/>
      <c r="S69" s="14" t="s">
        <v>465</v>
      </c>
      <c r="T69" s="14"/>
    </row>
    <row r="70" customFormat="false" ht="15" hidden="false" customHeight="false" outlineLevel="0" collapsed="false">
      <c r="Q70" s="14" t="s">
        <v>279</v>
      </c>
      <c r="R70" s="14" t="s">
        <v>417</v>
      </c>
      <c r="S70" s="36" t="s">
        <v>281</v>
      </c>
      <c r="T70" s="52" t="n">
        <v>40</v>
      </c>
      <c r="U70" s="36" t="s">
        <v>282</v>
      </c>
      <c r="V70" s="52" t="n">
        <f aca="false">T70</f>
        <v>40</v>
      </c>
      <c r="W70" s="14" t="s">
        <v>283</v>
      </c>
      <c r="Y70" s="36" t="s">
        <v>204</v>
      </c>
      <c r="Z70" s="53" t="n">
        <f aca="false">Z76+Z84</f>
        <v>19.29963</v>
      </c>
    </row>
    <row r="71" customFormat="false" ht="15" hidden="false" customHeight="false" outlineLevel="0" collapsed="false">
      <c r="Q71" s="14" t="s">
        <v>284</v>
      </c>
      <c r="R71" s="14" t="s">
        <v>285</v>
      </c>
      <c r="V71" s="36" t="s">
        <v>123</v>
      </c>
      <c r="W71" s="36" t="s">
        <v>286</v>
      </c>
      <c r="X71" s="36" t="s">
        <v>287</v>
      </c>
      <c r="Y71" s="36" t="s">
        <v>288</v>
      </c>
      <c r="Z71" s="36" t="s">
        <v>289</v>
      </c>
    </row>
    <row r="72" customFormat="false" ht="15" hidden="false" customHeight="false" outlineLevel="0" collapsed="false">
      <c r="R72" s="54" t="s">
        <v>290</v>
      </c>
    </row>
    <row r="73" customFormat="false" ht="15" hidden="false" customHeight="false" outlineLevel="0" collapsed="false">
      <c r="R73" s="1" t="s">
        <v>651</v>
      </c>
      <c r="V73" s="55" t="s">
        <v>292</v>
      </c>
      <c r="W73" s="56" t="n">
        <v>0.1</v>
      </c>
      <c r="X73" s="57" t="n">
        <f aca="false">W73*8/$V$70</f>
        <v>0.02</v>
      </c>
      <c r="Y73" s="1" t="n">
        <v>34.73</v>
      </c>
      <c r="Z73" s="28" t="n">
        <f aca="false">X73*Y73</f>
        <v>0.6946</v>
      </c>
    </row>
    <row r="74" customFormat="false" ht="15" hidden="false" customHeight="false" outlineLevel="0" collapsed="false">
      <c r="R74" s="1" t="s">
        <v>294</v>
      </c>
      <c r="V74" s="55" t="s">
        <v>292</v>
      </c>
      <c r="W74" s="56" t="n">
        <v>2</v>
      </c>
      <c r="X74" s="57" t="n">
        <f aca="false">W74*8/$V$70</f>
        <v>0.4</v>
      </c>
      <c r="Y74" s="1" t="n">
        <v>20.51</v>
      </c>
      <c r="Z74" s="28" t="n">
        <f aca="false">X74*Y74</f>
        <v>8.204</v>
      </c>
    </row>
    <row r="75" customFormat="false" ht="15" hidden="false" customHeight="false" outlineLevel="0" collapsed="false">
      <c r="R75" s="1" t="s">
        <v>653</v>
      </c>
      <c r="V75" s="55" t="s">
        <v>292</v>
      </c>
      <c r="W75" s="56" t="n">
        <v>1</v>
      </c>
      <c r="X75" s="57" t="n">
        <f aca="false">W75*8/$V$70</f>
        <v>0.2</v>
      </c>
      <c r="Y75" s="1" t="n">
        <v>29.94</v>
      </c>
      <c r="Z75" s="28" t="n">
        <f aca="false">X75*Y75</f>
        <v>5.988</v>
      </c>
    </row>
    <row r="76" customFormat="false" ht="15" hidden="false" customHeight="false" outlineLevel="0" collapsed="false">
      <c r="Z76" s="53" t="n">
        <f aca="false">SUM(Z73:Z75)</f>
        <v>14.8866</v>
      </c>
    </row>
    <row r="77" customFormat="false" ht="15" hidden="false" customHeight="false" outlineLevel="0" collapsed="false">
      <c r="R77" s="54" t="s">
        <v>654</v>
      </c>
      <c r="V77" s="55"/>
      <c r="W77" s="56"/>
      <c r="X77" s="57"/>
      <c r="Z77" s="28"/>
    </row>
    <row r="78" customFormat="false" ht="15" hidden="false" customHeight="false" outlineLevel="0" collapsed="false">
      <c r="R78" s="1" t="s">
        <v>656</v>
      </c>
      <c r="V78" s="55" t="s">
        <v>204</v>
      </c>
      <c r="W78" s="56"/>
      <c r="X78" s="57" t="n">
        <v>0.08</v>
      </c>
      <c r="Y78" s="1" t="n">
        <v>6.14</v>
      </c>
      <c r="Z78" s="28" t="n">
        <f aca="false">X78*Y78</f>
        <v>0.4912</v>
      </c>
    </row>
    <row r="79" customFormat="false" ht="15" hidden="false" customHeight="false" outlineLevel="0" collapsed="false">
      <c r="V79" s="55"/>
      <c r="X79" s="57"/>
      <c r="Z79" s="53" t="n">
        <f aca="false">SUM(Z78:Z78)</f>
        <v>0.4912</v>
      </c>
    </row>
    <row r="80" customFormat="false" ht="15" hidden="false" customHeight="false" outlineLevel="0" collapsed="false">
      <c r="R80" s="54" t="s">
        <v>310</v>
      </c>
    </row>
    <row r="81" customFormat="false" ht="15" hidden="false" customHeight="false" outlineLevel="0" collapsed="false">
      <c r="R81" s="1" t="s">
        <v>311</v>
      </c>
      <c r="V81" s="55" t="s">
        <v>312</v>
      </c>
      <c r="X81" s="57" t="n">
        <v>5</v>
      </c>
      <c r="Y81" s="28" t="n">
        <f aca="false">Z76</f>
        <v>14.8866</v>
      </c>
      <c r="Z81" s="28" t="n">
        <f aca="false">X81%*Y81</f>
        <v>0.74433</v>
      </c>
    </row>
    <row r="82" customFormat="false" ht="15" hidden="false" customHeight="false" outlineLevel="0" collapsed="false">
      <c r="R82" s="1" t="s">
        <v>657</v>
      </c>
      <c r="V82" s="55" t="s">
        <v>338</v>
      </c>
      <c r="W82" s="56" t="n">
        <v>1</v>
      </c>
      <c r="X82" s="57" t="n">
        <f aca="false">W82*8/$V$70</f>
        <v>0.2</v>
      </c>
      <c r="Y82" s="1" t="n">
        <v>17.47</v>
      </c>
      <c r="Z82" s="28" t="n">
        <f aca="false">X82*Y82</f>
        <v>3.494</v>
      </c>
    </row>
    <row r="83" customFormat="false" ht="15" hidden="false" customHeight="false" outlineLevel="0" collapsed="false">
      <c r="R83" s="1" t="s">
        <v>658</v>
      </c>
      <c r="V83" s="55" t="s">
        <v>338</v>
      </c>
      <c r="W83" s="56" t="n">
        <v>0.05</v>
      </c>
      <c r="X83" s="57" t="n">
        <f aca="false">W83*8/$V$70</f>
        <v>0.01</v>
      </c>
      <c r="Y83" s="1" t="n">
        <v>17.47</v>
      </c>
      <c r="Z83" s="28" t="n">
        <f aca="false">X83*Y83</f>
        <v>0.1747</v>
      </c>
    </row>
    <row r="84" customFormat="false" ht="15" hidden="false" customHeight="false" outlineLevel="0" collapsed="false">
      <c r="Q84" s="60"/>
      <c r="R84" s="60"/>
      <c r="S84" s="60"/>
      <c r="T84" s="60"/>
      <c r="U84" s="60"/>
      <c r="V84" s="60"/>
      <c r="W84" s="60"/>
      <c r="X84" s="60"/>
      <c r="Y84" s="80"/>
      <c r="Z84" s="61" t="n">
        <f aca="false">SUM(Z81:Z83)</f>
        <v>4.41303</v>
      </c>
    </row>
    <row r="86" customFormat="false" ht="15" hidden="false" customHeight="false" outlineLevel="0" collapsed="false">
      <c r="Q86" s="14" t="s">
        <v>278</v>
      </c>
      <c r="R86" s="14"/>
      <c r="S86" s="14" t="s">
        <v>1345</v>
      </c>
      <c r="T86" s="14"/>
    </row>
    <row r="87" customFormat="false" ht="15" hidden="false" customHeight="false" outlineLevel="0" collapsed="false">
      <c r="Q87" s="14" t="s">
        <v>279</v>
      </c>
      <c r="R87" s="14" t="s">
        <v>280</v>
      </c>
      <c r="S87" s="36" t="s">
        <v>281</v>
      </c>
      <c r="T87" s="52" t="n">
        <v>500</v>
      </c>
      <c r="U87" s="36" t="s">
        <v>282</v>
      </c>
      <c r="V87" s="52" t="n">
        <f aca="false">T87</f>
        <v>500</v>
      </c>
      <c r="W87" s="14" t="s">
        <v>283</v>
      </c>
      <c r="Y87" s="36" t="s">
        <v>134</v>
      </c>
      <c r="Z87" s="53" t="n">
        <f aca="false">Z93+Z99</f>
        <v>7.930344</v>
      </c>
    </row>
    <row r="88" customFormat="false" ht="15" hidden="false" customHeight="false" outlineLevel="0" collapsed="false">
      <c r="Q88" s="14" t="s">
        <v>284</v>
      </c>
      <c r="R88" s="14" t="s">
        <v>285</v>
      </c>
      <c r="V88" s="36" t="s">
        <v>123</v>
      </c>
      <c r="W88" s="36" t="s">
        <v>286</v>
      </c>
      <c r="X88" s="36" t="s">
        <v>287</v>
      </c>
      <c r="Y88" s="36" t="s">
        <v>288</v>
      </c>
      <c r="Z88" s="36" t="s">
        <v>289</v>
      </c>
    </row>
    <row r="89" customFormat="false" ht="15" hidden="false" customHeight="false" outlineLevel="0" collapsed="false">
      <c r="R89" s="54" t="s">
        <v>290</v>
      </c>
    </row>
    <row r="90" customFormat="false" ht="15" hidden="false" customHeight="false" outlineLevel="0" collapsed="false">
      <c r="R90" s="1" t="s">
        <v>651</v>
      </c>
      <c r="V90" s="55" t="s">
        <v>292</v>
      </c>
      <c r="W90" s="56" t="n">
        <v>1</v>
      </c>
      <c r="X90" s="57" t="n">
        <f aca="false">W90*8/$T$87</f>
        <v>0.016</v>
      </c>
      <c r="Y90" s="1" t="n">
        <v>34.73</v>
      </c>
      <c r="Z90" s="28" t="n">
        <f aca="false">X90*Y90</f>
        <v>0.55568</v>
      </c>
    </row>
    <row r="91" customFormat="false" ht="15" hidden="false" customHeight="false" outlineLevel="0" collapsed="false">
      <c r="R91" s="1" t="s">
        <v>293</v>
      </c>
      <c r="V91" s="55" t="s">
        <v>292</v>
      </c>
      <c r="W91" s="56" t="n">
        <v>1</v>
      </c>
      <c r="X91" s="57" t="n">
        <f aca="false">W91*8/$T$87</f>
        <v>0.016</v>
      </c>
      <c r="Y91" s="1" t="n">
        <v>23.6</v>
      </c>
      <c r="Z91" s="28" t="n">
        <f aca="false">X91*Y91</f>
        <v>0.3776</v>
      </c>
    </row>
    <row r="92" customFormat="false" ht="15" hidden="false" customHeight="false" outlineLevel="0" collapsed="false">
      <c r="R92" s="1" t="s">
        <v>294</v>
      </c>
      <c r="V92" s="55" t="s">
        <v>292</v>
      </c>
      <c r="W92" s="56" t="n">
        <v>3</v>
      </c>
      <c r="X92" s="57" t="n">
        <f aca="false">W92*8/$T$87</f>
        <v>0.048</v>
      </c>
      <c r="Y92" s="1" t="n">
        <v>20.51</v>
      </c>
      <c r="Z92" s="28" t="n">
        <f aca="false">X92*Y92</f>
        <v>0.98448</v>
      </c>
    </row>
    <row r="93" customFormat="false" ht="15" hidden="false" customHeight="false" outlineLevel="0" collapsed="false">
      <c r="Z93" s="53" t="n">
        <f aca="false">SUM(Z90:Z92)</f>
        <v>1.91776</v>
      </c>
    </row>
    <row r="94" customFormat="false" ht="15" hidden="false" customHeight="false" outlineLevel="0" collapsed="false">
      <c r="R94" s="54" t="s">
        <v>310</v>
      </c>
    </row>
    <row r="95" customFormat="false" ht="15" hidden="false" customHeight="false" outlineLevel="0" collapsed="false">
      <c r="R95" s="1" t="s">
        <v>311</v>
      </c>
      <c r="V95" s="55" t="s">
        <v>312</v>
      </c>
      <c r="X95" s="57" t="n">
        <v>5</v>
      </c>
      <c r="Y95" s="28" t="n">
        <f aca="false">Z90</f>
        <v>0.55568</v>
      </c>
      <c r="Z95" s="28" t="n">
        <f aca="false">X95%*Y95</f>
        <v>0.027784</v>
      </c>
    </row>
    <row r="96" customFormat="false" ht="15" hidden="false" customHeight="true" outlineLevel="0" collapsed="false">
      <c r="R96" s="1" t="s">
        <v>657</v>
      </c>
      <c r="V96" s="55" t="s">
        <v>338</v>
      </c>
      <c r="W96" s="56" t="n">
        <v>1</v>
      </c>
      <c r="X96" s="57" t="n">
        <f aca="false">W96*8/$T$87</f>
        <v>0.016</v>
      </c>
      <c r="Y96" s="1" t="n">
        <v>17.47</v>
      </c>
      <c r="Z96" s="28" t="n">
        <f aca="false">X96*Y96</f>
        <v>0.27952</v>
      </c>
    </row>
    <row r="97" customFormat="false" ht="15" hidden="false" customHeight="true" outlineLevel="0" collapsed="false">
      <c r="R97" s="1" t="s">
        <v>659</v>
      </c>
      <c r="V97" s="55" t="s">
        <v>338</v>
      </c>
      <c r="W97" s="56" t="n">
        <v>1</v>
      </c>
      <c r="X97" s="57" t="n">
        <f aca="false">W97*8/$T$87</f>
        <v>0.016</v>
      </c>
      <c r="Y97" s="1" t="n">
        <v>136.06</v>
      </c>
      <c r="Z97" s="28" t="n">
        <f aca="false">X97*Y97</f>
        <v>2.17696</v>
      </c>
    </row>
    <row r="98" customFormat="false" ht="15" hidden="false" customHeight="true" outlineLevel="0" collapsed="false">
      <c r="R98" s="228" t="s">
        <v>660</v>
      </c>
      <c r="S98" s="228"/>
      <c r="T98" s="228"/>
      <c r="U98" s="228"/>
      <c r="V98" s="55" t="s">
        <v>338</v>
      </c>
      <c r="W98" s="56" t="n">
        <v>1</v>
      </c>
      <c r="X98" s="57" t="n">
        <f aca="false">W98*8/$T$87</f>
        <v>0.016</v>
      </c>
      <c r="Y98" s="1" t="n">
        <v>220.52</v>
      </c>
      <c r="Z98" s="28" t="n">
        <f aca="false">X98*Y98</f>
        <v>3.52832</v>
      </c>
    </row>
    <row r="99" customFormat="false" ht="15" hidden="false" customHeight="false" outlineLevel="0" collapsed="false">
      <c r="Q99" s="60"/>
      <c r="R99" s="60"/>
      <c r="S99" s="60"/>
      <c r="T99" s="60"/>
      <c r="U99" s="60"/>
      <c r="V99" s="60"/>
      <c r="W99" s="60"/>
      <c r="X99" s="60"/>
      <c r="Y99" s="80"/>
      <c r="Z99" s="61" t="n">
        <f aca="false">SUM(Z95:Z98)</f>
        <v>6.012584</v>
      </c>
    </row>
    <row r="101" customFormat="false" ht="15" hidden="false" customHeight="false" outlineLevel="0" collapsed="false">
      <c r="Q101" s="14" t="s">
        <v>278</v>
      </c>
      <c r="R101" s="14"/>
      <c r="S101" s="14" t="s">
        <v>469</v>
      </c>
      <c r="T101" s="14"/>
    </row>
    <row r="102" customFormat="false" ht="15" hidden="false" customHeight="false" outlineLevel="0" collapsed="false">
      <c r="Q102" s="14" t="s">
        <v>279</v>
      </c>
      <c r="R102" s="14" t="s">
        <v>314</v>
      </c>
      <c r="S102" s="36" t="s">
        <v>281</v>
      </c>
      <c r="T102" s="52" t="n">
        <v>80</v>
      </c>
      <c r="U102" s="36" t="s">
        <v>282</v>
      </c>
      <c r="V102" s="52" t="n">
        <f aca="false">T102</f>
        <v>80</v>
      </c>
      <c r="W102" s="14" t="s">
        <v>283</v>
      </c>
      <c r="Y102" s="36" t="s">
        <v>145</v>
      </c>
      <c r="Z102" s="53" t="n">
        <f aca="false">Z106+Z110</f>
        <v>12.11253</v>
      </c>
    </row>
    <row r="103" customFormat="false" ht="15" hidden="false" customHeight="false" outlineLevel="0" collapsed="false">
      <c r="Q103" s="14" t="s">
        <v>284</v>
      </c>
      <c r="R103" s="14" t="s">
        <v>285</v>
      </c>
      <c r="V103" s="36" t="s">
        <v>123</v>
      </c>
      <c r="W103" s="36" t="s">
        <v>286</v>
      </c>
      <c r="X103" s="36" t="s">
        <v>287</v>
      </c>
      <c r="Y103" s="36" t="s">
        <v>288</v>
      </c>
      <c r="Z103" s="36" t="s">
        <v>289</v>
      </c>
    </row>
    <row r="104" customFormat="false" ht="15" hidden="false" customHeight="false" outlineLevel="0" collapsed="false">
      <c r="R104" s="54" t="s">
        <v>290</v>
      </c>
    </row>
    <row r="105" customFormat="false" ht="15" hidden="false" customHeight="false" outlineLevel="0" collapsed="false">
      <c r="R105" s="1" t="s">
        <v>294</v>
      </c>
      <c r="V105" s="55" t="s">
        <v>292</v>
      </c>
      <c r="W105" s="56" t="n">
        <v>1</v>
      </c>
      <c r="X105" s="57" t="n">
        <f aca="false">W105*8/$V$102</f>
        <v>0.1</v>
      </c>
      <c r="Y105" s="1" t="n">
        <v>20.51</v>
      </c>
      <c r="Z105" s="28" t="n">
        <f aca="false">X105*Y105</f>
        <v>2.051</v>
      </c>
    </row>
    <row r="106" customFormat="false" ht="15" hidden="false" customHeight="false" outlineLevel="0" collapsed="false">
      <c r="V106" s="55"/>
      <c r="W106" s="56"/>
      <c r="X106" s="57"/>
      <c r="Z106" s="53" t="n">
        <f aca="false">SUM(Z105:Z105)</f>
        <v>2.051</v>
      </c>
    </row>
    <row r="107" customFormat="false" ht="15" hidden="false" customHeight="false" outlineLevel="0" collapsed="false">
      <c r="R107" s="54" t="s">
        <v>310</v>
      </c>
    </row>
    <row r="108" customFormat="false" ht="15" hidden="false" customHeight="false" outlineLevel="0" collapsed="false">
      <c r="R108" s="1" t="s">
        <v>311</v>
      </c>
      <c r="V108" s="55" t="s">
        <v>312</v>
      </c>
      <c r="X108" s="57" t="n">
        <v>3</v>
      </c>
      <c r="Y108" s="28" t="n">
        <f aca="false">Z106</f>
        <v>2.051</v>
      </c>
      <c r="Z108" s="28" t="n">
        <f aca="false">X108%*Y108</f>
        <v>0.06153</v>
      </c>
    </row>
    <row r="109" customFormat="false" ht="15" hidden="false" customHeight="false" outlineLevel="0" collapsed="false">
      <c r="R109" s="1" t="s">
        <v>661</v>
      </c>
      <c r="V109" s="55" t="s">
        <v>338</v>
      </c>
      <c r="W109" s="56" t="n">
        <v>1</v>
      </c>
      <c r="X109" s="57" t="n">
        <f aca="false">W109*8/$V$102</f>
        <v>0.1</v>
      </c>
      <c r="Y109" s="1" t="n">
        <v>100</v>
      </c>
      <c r="Z109" s="28" t="n">
        <f aca="false">X109*Y109</f>
        <v>10</v>
      </c>
    </row>
    <row r="110" customFormat="false" ht="15" hidden="false" customHeight="false" outlineLevel="0" collapsed="false">
      <c r="Q110" s="60"/>
      <c r="R110" s="60"/>
      <c r="S110" s="60"/>
      <c r="T110" s="60"/>
      <c r="U110" s="60"/>
      <c r="V110" s="60"/>
      <c r="W110" s="60"/>
      <c r="X110" s="60"/>
      <c r="Y110" s="80"/>
      <c r="Z110" s="61" t="n">
        <f aca="false">SUM(Z108:Z109)</f>
        <v>10.06153</v>
      </c>
    </row>
    <row r="112" customFormat="false" ht="15" hidden="false" customHeight="false" outlineLevel="0" collapsed="false">
      <c r="Q112" s="14" t="s">
        <v>278</v>
      </c>
      <c r="R112" s="14"/>
      <c r="S112" s="14" t="s">
        <v>471</v>
      </c>
      <c r="T112" s="14"/>
    </row>
    <row r="113" customFormat="false" ht="15" hidden="false" customHeight="false" outlineLevel="0" collapsed="false">
      <c r="Q113" s="14" t="s">
        <v>279</v>
      </c>
      <c r="R113" s="14" t="s">
        <v>417</v>
      </c>
      <c r="S113" s="36" t="s">
        <v>281</v>
      </c>
      <c r="T113" s="52" t="n">
        <v>187.5</v>
      </c>
      <c r="U113" s="36" t="s">
        <v>282</v>
      </c>
      <c r="V113" s="52" t="n">
        <f aca="false">T113</f>
        <v>187.5</v>
      </c>
      <c r="W113" s="14" t="s">
        <v>283</v>
      </c>
      <c r="Y113" s="36" t="s">
        <v>204</v>
      </c>
      <c r="Z113" s="53" t="n">
        <f aca="false">Z118+Z123</f>
        <v>22.9100074666667</v>
      </c>
    </row>
    <row r="114" customFormat="false" ht="15" hidden="false" customHeight="false" outlineLevel="0" collapsed="false">
      <c r="Q114" s="14" t="s">
        <v>284</v>
      </c>
      <c r="R114" s="14" t="s">
        <v>285</v>
      </c>
      <c r="V114" s="36" t="s">
        <v>123</v>
      </c>
      <c r="W114" s="36" t="s">
        <v>286</v>
      </c>
      <c r="X114" s="36" t="s">
        <v>287</v>
      </c>
      <c r="Y114" s="36" t="s">
        <v>288</v>
      </c>
      <c r="Z114" s="36" t="s">
        <v>289</v>
      </c>
    </row>
    <row r="115" customFormat="false" ht="15" hidden="false" customHeight="false" outlineLevel="0" collapsed="false">
      <c r="R115" s="54" t="s">
        <v>290</v>
      </c>
    </row>
    <row r="116" customFormat="false" ht="15" hidden="false" customHeight="false" outlineLevel="0" collapsed="false">
      <c r="R116" s="1" t="s">
        <v>293</v>
      </c>
      <c r="V116" s="55" t="s">
        <v>292</v>
      </c>
      <c r="W116" s="56" t="n">
        <v>1</v>
      </c>
      <c r="X116" s="57" t="n">
        <f aca="false">W116*8/$V$113</f>
        <v>0.0426666666666667</v>
      </c>
      <c r="Y116" s="1" t="n">
        <v>23.6</v>
      </c>
      <c r="Z116" s="28" t="n">
        <f aca="false">X116*Y116</f>
        <v>1.00693333333333</v>
      </c>
    </row>
    <row r="117" customFormat="false" ht="15" hidden="false" customHeight="false" outlineLevel="0" collapsed="false">
      <c r="R117" s="1" t="s">
        <v>294</v>
      </c>
      <c r="V117" s="55" t="s">
        <v>292</v>
      </c>
      <c r="W117" s="56" t="n">
        <v>1</v>
      </c>
      <c r="X117" s="57" t="n">
        <f aca="false">W117*8/$V$113</f>
        <v>0.0426666666666667</v>
      </c>
      <c r="Y117" s="1" t="n">
        <v>20.51</v>
      </c>
      <c r="Z117" s="28" t="n">
        <f aca="false">X117*Y117</f>
        <v>0.875093333333333</v>
      </c>
    </row>
    <row r="118" customFormat="false" ht="15" hidden="false" customHeight="false" outlineLevel="0" collapsed="false">
      <c r="V118" s="55"/>
      <c r="W118" s="56"/>
      <c r="X118" s="57"/>
      <c r="Z118" s="53" t="n">
        <f aca="false">SUM(Z116:Z117)</f>
        <v>1.88202666666667</v>
      </c>
    </row>
    <row r="119" customFormat="false" ht="15" hidden="false" customHeight="false" outlineLevel="0" collapsed="false">
      <c r="R119" s="54" t="s">
        <v>310</v>
      </c>
    </row>
    <row r="120" customFormat="false" ht="15" hidden="false" customHeight="false" outlineLevel="0" collapsed="false">
      <c r="R120" s="1" t="s">
        <v>311</v>
      </c>
      <c r="V120" s="55" t="s">
        <v>312</v>
      </c>
      <c r="X120" s="57" t="n">
        <v>3</v>
      </c>
      <c r="Y120" s="28" t="n">
        <f aca="false">Z118</f>
        <v>1.88202666666667</v>
      </c>
      <c r="Z120" s="28" t="n">
        <f aca="false">X120%*Y120</f>
        <v>0.0564608</v>
      </c>
    </row>
    <row r="121" customFormat="false" ht="15" hidden="false" customHeight="false" outlineLevel="0" collapsed="false">
      <c r="R121" s="1" t="s">
        <v>662</v>
      </c>
      <c r="V121" s="55" t="s">
        <v>338</v>
      </c>
      <c r="W121" s="56" t="n">
        <v>1</v>
      </c>
      <c r="X121" s="57" t="n">
        <f aca="false">W121*8/$V$113</f>
        <v>0.0426666666666667</v>
      </c>
      <c r="Y121" s="46" t="n">
        <v>118.64</v>
      </c>
      <c r="Z121" s="28" t="n">
        <f aca="false">X121*Y121</f>
        <v>5.06197333333333</v>
      </c>
    </row>
    <row r="122" customFormat="false" ht="15" hidden="false" customHeight="false" outlineLevel="0" collapsed="false">
      <c r="R122" s="1" t="s">
        <v>663</v>
      </c>
      <c r="V122" s="55" t="s">
        <v>338</v>
      </c>
      <c r="W122" s="56" t="n">
        <v>2</v>
      </c>
      <c r="X122" s="57" t="n">
        <f aca="false">W122*8/$V$113</f>
        <v>0.0853333333333333</v>
      </c>
      <c r="Y122" s="46" t="n">
        <v>186.44</v>
      </c>
      <c r="Z122" s="28" t="n">
        <f aca="false">X122*Y122</f>
        <v>15.9095466666667</v>
      </c>
    </row>
    <row r="123" customFormat="false" ht="15" hidden="false" customHeight="false" outlineLevel="0" collapsed="false">
      <c r="Q123" s="60"/>
      <c r="R123" s="60"/>
      <c r="S123" s="60"/>
      <c r="T123" s="60"/>
      <c r="U123" s="60"/>
      <c r="V123" s="60"/>
      <c r="W123" s="60"/>
      <c r="X123" s="60"/>
      <c r="Y123" s="80"/>
      <c r="Z123" s="61" t="n">
        <f aca="false">SUM(Z120:Z122)</f>
        <v>21.0279808</v>
      </c>
    </row>
    <row r="125" customFormat="false" ht="15" hidden="false" customHeight="false" outlineLevel="0" collapsed="false">
      <c r="Q125" s="82" t="s">
        <v>278</v>
      </c>
      <c r="R125" s="82"/>
      <c r="S125" s="82" t="s">
        <v>484</v>
      </c>
      <c r="T125" s="82"/>
    </row>
    <row r="126" customFormat="false" ht="15" hidden="false" customHeight="false" outlineLevel="0" collapsed="false">
      <c r="Q126" s="82" t="s">
        <v>279</v>
      </c>
      <c r="R126" s="82" t="s">
        <v>280</v>
      </c>
      <c r="S126" s="84" t="s">
        <v>281</v>
      </c>
      <c r="T126" s="85" t="n">
        <v>50</v>
      </c>
      <c r="U126" s="84" t="s">
        <v>282</v>
      </c>
      <c r="V126" s="85" t="n">
        <f aca="false">T126</f>
        <v>50</v>
      </c>
      <c r="W126" s="82" t="s">
        <v>283</v>
      </c>
      <c r="Y126" s="84" t="s">
        <v>134</v>
      </c>
      <c r="Z126" s="86" t="n">
        <f aca="false">Z134+Z141+Z145</f>
        <v>238.3435744</v>
      </c>
    </row>
    <row r="127" customFormat="false" ht="15" hidden="false" customHeight="false" outlineLevel="0" collapsed="false">
      <c r="Q127" s="82" t="s">
        <v>284</v>
      </c>
      <c r="R127" s="82" t="s">
        <v>285</v>
      </c>
      <c r="V127" s="84" t="s">
        <v>123</v>
      </c>
      <c r="W127" s="84" t="s">
        <v>286</v>
      </c>
      <c r="X127" s="84" t="s">
        <v>287</v>
      </c>
      <c r="Y127" s="84" t="s">
        <v>288</v>
      </c>
      <c r="Z127" s="84" t="s">
        <v>289</v>
      </c>
    </row>
    <row r="128" customFormat="false" ht="15" hidden="false" customHeight="false" outlineLevel="0" collapsed="false">
      <c r="R128" s="87" t="s">
        <v>290</v>
      </c>
    </row>
    <row r="129" customFormat="false" ht="15" hidden="false" customHeight="false" outlineLevel="0" collapsed="false">
      <c r="R129" s="1" t="s">
        <v>651</v>
      </c>
      <c r="V129" s="55" t="s">
        <v>292</v>
      </c>
      <c r="W129" s="56" t="n">
        <v>0.1</v>
      </c>
      <c r="X129" s="57" t="n">
        <f aca="false">W129*8/$T$126</f>
        <v>0.016</v>
      </c>
      <c r="Y129" s="1" t="n">
        <v>34.73</v>
      </c>
      <c r="Z129" s="28" t="n">
        <f aca="false">X129*Y129</f>
        <v>0.55568</v>
      </c>
    </row>
    <row r="130" customFormat="false" ht="15" hidden="false" customHeight="false" outlineLevel="0" collapsed="false">
      <c r="R130" s="1" t="s">
        <v>291</v>
      </c>
      <c r="V130" s="55" t="s">
        <v>292</v>
      </c>
      <c r="W130" s="56" t="n">
        <v>1</v>
      </c>
      <c r="X130" s="57" t="n">
        <f aca="false">W130*8/$T$126</f>
        <v>0.16</v>
      </c>
      <c r="Y130" s="28" t="n">
        <v>28.94</v>
      </c>
      <c r="Z130" s="28" t="n">
        <f aca="false">X130*Y130</f>
        <v>4.6304</v>
      </c>
    </row>
    <row r="131" customFormat="false" ht="15" hidden="false" customHeight="false" outlineLevel="0" collapsed="false">
      <c r="R131" s="1" t="s">
        <v>293</v>
      </c>
      <c r="V131" s="55" t="s">
        <v>292</v>
      </c>
      <c r="W131" s="56" t="n">
        <v>2</v>
      </c>
      <c r="X131" s="57" t="n">
        <f aca="false">W131*8/$T$126</f>
        <v>0.32</v>
      </c>
      <c r="Y131" s="28" t="n">
        <v>23.6</v>
      </c>
      <c r="Z131" s="28" t="n">
        <f aca="false">X131*Y131</f>
        <v>7.552</v>
      </c>
    </row>
    <row r="132" customFormat="false" ht="15" hidden="false" customHeight="false" outlineLevel="0" collapsed="false">
      <c r="R132" s="1" t="s">
        <v>294</v>
      </c>
      <c r="V132" s="55" t="s">
        <v>292</v>
      </c>
      <c r="W132" s="56" t="n">
        <v>5</v>
      </c>
      <c r="X132" s="57" t="n">
        <f aca="false">W132*8/$T$126</f>
        <v>0.8</v>
      </c>
      <c r="Y132" s="28" t="n">
        <v>21.36</v>
      </c>
      <c r="Z132" s="28" t="n">
        <f aca="false">X132*Y132</f>
        <v>17.088</v>
      </c>
    </row>
    <row r="133" customFormat="false" ht="15" hidden="false" customHeight="false" outlineLevel="0" collapsed="false">
      <c r="R133" s="1" t="s">
        <v>653</v>
      </c>
      <c r="V133" s="55" t="s">
        <v>292</v>
      </c>
      <c r="W133" s="56" t="n">
        <v>1</v>
      </c>
      <c r="X133" s="57" t="n">
        <f aca="false">W133*8/$T$126</f>
        <v>0.16</v>
      </c>
      <c r="Y133" s="1" t="n">
        <v>29.94</v>
      </c>
      <c r="Z133" s="28" t="n">
        <f aca="false">X133*Y133</f>
        <v>4.7904</v>
      </c>
    </row>
    <row r="134" customFormat="false" ht="15" hidden="false" customHeight="false" outlineLevel="0" collapsed="false">
      <c r="V134" s="55"/>
      <c r="W134" s="56"/>
      <c r="X134" s="57"/>
      <c r="Z134" s="86" t="n">
        <f aca="false">SUM(Z129:Z133)</f>
        <v>34.61648</v>
      </c>
    </row>
    <row r="135" customFormat="false" ht="15" hidden="false" customHeight="false" outlineLevel="0" collapsed="false">
      <c r="R135" s="87" t="s">
        <v>654</v>
      </c>
      <c r="V135" s="55"/>
      <c r="W135" s="56"/>
      <c r="X135" s="57"/>
      <c r="Z135" s="28"/>
    </row>
    <row r="136" customFormat="false" ht="15" hidden="false" customHeight="false" outlineLevel="0" collapsed="false">
      <c r="R136" s="1" t="s">
        <v>307</v>
      </c>
      <c r="V136" s="55" t="s">
        <v>308</v>
      </c>
      <c r="X136" s="57" t="n">
        <v>3.8</v>
      </c>
      <c r="Y136" s="28" t="n">
        <v>24.52</v>
      </c>
      <c r="Z136" s="28" t="n">
        <f aca="false">X136*Y136</f>
        <v>93.176</v>
      </c>
    </row>
    <row r="137" customFormat="false" ht="15" hidden="false" customHeight="false" outlineLevel="0" collapsed="false">
      <c r="R137" s="1" t="s">
        <v>656</v>
      </c>
      <c r="V137" s="55" t="s">
        <v>204</v>
      </c>
      <c r="X137" s="57" t="n">
        <v>0.08</v>
      </c>
      <c r="Y137" s="1" t="n">
        <v>6.14</v>
      </c>
      <c r="Z137" s="28" t="n">
        <f aca="false">X137*Y137</f>
        <v>0.4912</v>
      </c>
    </row>
    <row r="138" customFormat="false" ht="15" hidden="false" customHeight="false" outlineLevel="0" collapsed="false">
      <c r="R138" s="1" t="s">
        <v>666</v>
      </c>
      <c r="V138" s="55" t="s">
        <v>440</v>
      </c>
      <c r="X138" s="57" t="n">
        <v>0.5</v>
      </c>
      <c r="Y138" s="1" t="n">
        <v>13.93</v>
      </c>
      <c r="Z138" s="28" t="n">
        <f aca="false">X138*Y138</f>
        <v>6.965</v>
      </c>
    </row>
    <row r="139" customFormat="false" ht="15" hidden="false" customHeight="false" outlineLevel="0" collapsed="false">
      <c r="R139" s="1" t="s">
        <v>303</v>
      </c>
      <c r="V139" s="55" t="s">
        <v>204</v>
      </c>
      <c r="X139" s="57" t="n">
        <v>0.93</v>
      </c>
      <c r="Y139" s="88" t="n">
        <v>70.92</v>
      </c>
      <c r="Z139" s="28" t="n">
        <f aca="false">X139*Y139</f>
        <v>65.9556</v>
      </c>
    </row>
    <row r="140" customFormat="false" ht="15" hidden="false" customHeight="false" outlineLevel="0" collapsed="false">
      <c r="R140" s="1" t="s">
        <v>667</v>
      </c>
      <c r="V140" s="55" t="s">
        <v>204</v>
      </c>
      <c r="X140" s="57" t="n">
        <v>0.4</v>
      </c>
      <c r="Y140" s="88" t="n">
        <v>80</v>
      </c>
      <c r="Z140" s="28" t="n">
        <f aca="false">X140*Y140</f>
        <v>32</v>
      </c>
    </row>
    <row r="141" customFormat="false" ht="15" hidden="false" customHeight="false" outlineLevel="0" collapsed="false">
      <c r="V141" s="55"/>
      <c r="X141" s="57"/>
      <c r="Y141" s="28"/>
      <c r="Z141" s="86" t="n">
        <f aca="false">SUM(Z136:Z140)</f>
        <v>198.5878</v>
      </c>
    </row>
    <row r="142" customFormat="false" ht="15" hidden="false" customHeight="false" outlineLevel="0" collapsed="false">
      <c r="R142" s="87" t="s">
        <v>310</v>
      </c>
    </row>
    <row r="143" customFormat="false" ht="15" hidden="false" customHeight="false" outlineLevel="0" collapsed="false">
      <c r="R143" s="1" t="s">
        <v>311</v>
      </c>
      <c r="V143" s="55" t="s">
        <v>312</v>
      </c>
      <c r="X143" s="57" t="n">
        <v>3</v>
      </c>
      <c r="Y143" s="28" t="n">
        <f aca="false">Z134</f>
        <v>34.61648</v>
      </c>
      <c r="Z143" s="28" t="n">
        <f aca="false">X143%*Y143</f>
        <v>1.0384944</v>
      </c>
    </row>
    <row r="144" customFormat="false" ht="15" hidden="false" customHeight="false" outlineLevel="0" collapsed="false">
      <c r="R144" s="1" t="s">
        <v>668</v>
      </c>
      <c r="V144" s="55" t="s">
        <v>338</v>
      </c>
      <c r="W144" s="56" t="n">
        <v>1</v>
      </c>
      <c r="X144" s="57" t="n">
        <f aca="false">W144*8/$T$126</f>
        <v>0.16</v>
      </c>
      <c r="Y144" s="28" t="n">
        <v>25.63</v>
      </c>
      <c r="Z144" s="28" t="n">
        <f aca="false">X144*Y144</f>
        <v>4.1008</v>
      </c>
    </row>
    <row r="145" customFormat="false" ht="15" hidden="false" customHeight="false" outlineLevel="0" collapsed="false">
      <c r="Q145" s="60"/>
      <c r="R145" s="60"/>
      <c r="S145" s="60"/>
      <c r="T145" s="60"/>
      <c r="U145" s="60"/>
      <c r="V145" s="60"/>
      <c r="W145" s="60"/>
      <c r="X145" s="60"/>
      <c r="Y145" s="60"/>
      <c r="Z145" s="89" t="n">
        <f aca="false">SUM(Z143:Z144)</f>
        <v>5.1392944</v>
      </c>
    </row>
    <row r="151" customFormat="false" ht="15" hidden="false" customHeight="false" outlineLevel="0" collapsed="false">
      <c r="Q151" s="82" t="s">
        <v>278</v>
      </c>
      <c r="R151" s="82"/>
      <c r="S151" s="82" t="s">
        <v>669</v>
      </c>
      <c r="T151" s="82"/>
    </row>
    <row r="152" customFormat="false" ht="15" hidden="false" customHeight="false" outlineLevel="0" collapsed="false">
      <c r="Q152" s="82" t="s">
        <v>279</v>
      </c>
      <c r="R152" s="82" t="s">
        <v>280</v>
      </c>
      <c r="S152" s="84" t="s">
        <v>281</v>
      </c>
      <c r="T152" s="85" t="n">
        <v>110</v>
      </c>
      <c r="U152" s="84" t="s">
        <v>282</v>
      </c>
      <c r="V152" s="85" t="n">
        <f aca="false">T152</f>
        <v>110</v>
      </c>
      <c r="W152" s="82" t="s">
        <v>283</v>
      </c>
      <c r="Y152" s="84" t="s">
        <v>134</v>
      </c>
      <c r="Z152" s="86" t="n">
        <f aca="false">Z158+Z164+Z168</f>
        <v>39.6208818181818</v>
      </c>
    </row>
    <row r="153" customFormat="false" ht="15" hidden="false" customHeight="false" outlineLevel="0" collapsed="false">
      <c r="Q153" s="82" t="s">
        <v>284</v>
      </c>
      <c r="R153" s="82" t="s">
        <v>285</v>
      </c>
      <c r="V153" s="84" t="s">
        <v>123</v>
      </c>
      <c r="W153" s="84" t="s">
        <v>286</v>
      </c>
      <c r="X153" s="84" t="s">
        <v>287</v>
      </c>
      <c r="Y153" s="84" t="s">
        <v>288</v>
      </c>
      <c r="Z153" s="84" t="s">
        <v>289</v>
      </c>
    </row>
    <row r="154" customFormat="false" ht="15" hidden="false" customHeight="false" outlineLevel="0" collapsed="false">
      <c r="R154" s="87" t="s">
        <v>290</v>
      </c>
    </row>
    <row r="155" customFormat="false" ht="15" hidden="false" customHeight="false" outlineLevel="0" collapsed="false">
      <c r="R155" s="1" t="s">
        <v>291</v>
      </c>
      <c r="V155" s="55" t="s">
        <v>292</v>
      </c>
      <c r="W155" s="56" t="n">
        <v>2</v>
      </c>
      <c r="X155" s="57" t="n">
        <f aca="false">W155*8/$T$152</f>
        <v>0.145454545454545</v>
      </c>
      <c r="Y155" s="28" t="n">
        <v>28.94</v>
      </c>
      <c r="Z155" s="28" t="n">
        <f aca="false">X155*Y155</f>
        <v>4.20945454545455</v>
      </c>
    </row>
    <row r="156" customFormat="false" ht="15" hidden="false" customHeight="false" outlineLevel="0" collapsed="false">
      <c r="R156" s="1" t="s">
        <v>293</v>
      </c>
      <c r="V156" s="55" t="s">
        <v>292</v>
      </c>
      <c r="W156" s="56" t="n">
        <v>1</v>
      </c>
      <c r="X156" s="57" t="n">
        <f aca="false">W156*8/$T$152</f>
        <v>0.0727272727272727</v>
      </c>
      <c r="Y156" s="28" t="n">
        <v>23.6</v>
      </c>
      <c r="Z156" s="28" t="n">
        <f aca="false">X156*Y156</f>
        <v>1.71636363636364</v>
      </c>
    </row>
    <row r="157" customFormat="false" ht="15" hidden="false" customHeight="false" outlineLevel="0" collapsed="false">
      <c r="R157" s="1" t="s">
        <v>294</v>
      </c>
      <c r="V157" s="55" t="s">
        <v>292</v>
      </c>
      <c r="W157" s="56" t="n">
        <v>6</v>
      </c>
      <c r="X157" s="57" t="n">
        <f aca="false">W157*8/$T$152</f>
        <v>0.436363636363636</v>
      </c>
      <c r="Y157" s="28" t="n">
        <v>21.36</v>
      </c>
      <c r="Z157" s="28" t="n">
        <f aca="false">X157*Y157</f>
        <v>9.32072727272727</v>
      </c>
    </row>
    <row r="158" customFormat="false" ht="15" hidden="false" customHeight="false" outlineLevel="0" collapsed="false">
      <c r="V158" s="55"/>
      <c r="W158" s="56"/>
      <c r="X158" s="57"/>
      <c r="Z158" s="86" t="n">
        <f aca="false">SUM(Z155:Z157)</f>
        <v>15.2465454545455</v>
      </c>
    </row>
    <row r="159" customFormat="false" ht="15" hidden="false" customHeight="false" outlineLevel="0" collapsed="false">
      <c r="R159" s="87" t="s">
        <v>654</v>
      </c>
      <c r="V159" s="55"/>
      <c r="W159" s="56"/>
      <c r="X159" s="57"/>
      <c r="Z159" s="28"/>
    </row>
    <row r="160" customFormat="false" ht="15" hidden="false" customHeight="false" outlineLevel="0" collapsed="false">
      <c r="R160" s="1" t="s">
        <v>307</v>
      </c>
      <c r="V160" s="55" t="s">
        <v>308</v>
      </c>
      <c r="X160" s="57" t="n">
        <v>0.42</v>
      </c>
      <c r="Y160" s="28" t="n">
        <v>24.52</v>
      </c>
      <c r="Z160" s="28" t="n">
        <f aca="false">X160*Y160</f>
        <v>10.2984</v>
      </c>
    </row>
    <row r="161" customFormat="false" ht="15" hidden="false" customHeight="false" outlineLevel="0" collapsed="false">
      <c r="R161" s="1" t="s">
        <v>656</v>
      </c>
      <c r="V161" s="55" t="s">
        <v>204</v>
      </c>
      <c r="X161" s="57" t="n">
        <v>0.025</v>
      </c>
      <c r="Y161" s="1" t="n">
        <v>6.14</v>
      </c>
      <c r="Z161" s="28" t="n">
        <f aca="false">X161*Y161</f>
        <v>0.1535</v>
      </c>
    </row>
    <row r="162" customFormat="false" ht="15" hidden="false" customHeight="false" outlineLevel="0" collapsed="false">
      <c r="R162" s="1" t="s">
        <v>303</v>
      </c>
      <c r="V162" s="55" t="s">
        <v>204</v>
      </c>
      <c r="X162" s="57" t="n">
        <v>0.162</v>
      </c>
      <c r="Y162" s="88" t="n">
        <v>70.92</v>
      </c>
      <c r="Z162" s="28" t="n">
        <f aca="false">X162*Y162</f>
        <v>11.48904</v>
      </c>
    </row>
    <row r="163" customFormat="false" ht="15" hidden="false" customHeight="false" outlineLevel="0" collapsed="false">
      <c r="R163" s="1" t="s">
        <v>670</v>
      </c>
      <c r="V163" s="55" t="s">
        <v>306</v>
      </c>
      <c r="X163" s="57" t="n">
        <v>0.18</v>
      </c>
      <c r="Y163" s="28" t="n">
        <v>5.8</v>
      </c>
      <c r="Z163" s="28" t="n">
        <f aca="false">X163*Y163</f>
        <v>1.044</v>
      </c>
    </row>
    <row r="164" customFormat="false" ht="15" hidden="false" customHeight="false" outlineLevel="0" collapsed="false">
      <c r="V164" s="55"/>
      <c r="X164" s="57"/>
      <c r="Y164" s="28"/>
      <c r="Z164" s="86" t="n">
        <f aca="false">SUM(Z160:Z163)</f>
        <v>22.98494</v>
      </c>
    </row>
    <row r="165" customFormat="false" ht="15" hidden="false" customHeight="false" outlineLevel="0" collapsed="false">
      <c r="R165" s="87" t="s">
        <v>310</v>
      </c>
    </row>
    <row r="166" customFormat="false" ht="15" hidden="false" customHeight="false" outlineLevel="0" collapsed="false">
      <c r="R166" s="1" t="s">
        <v>311</v>
      </c>
      <c r="V166" s="55" t="s">
        <v>312</v>
      </c>
      <c r="X166" s="57" t="n">
        <v>3</v>
      </c>
      <c r="Y166" s="28" t="n">
        <f aca="false">Z158</f>
        <v>15.2465454545455</v>
      </c>
      <c r="Z166" s="28" t="n">
        <f aca="false">X166%*Y166</f>
        <v>0.457396363636364</v>
      </c>
    </row>
    <row r="167" customFormat="false" ht="15" hidden="false" customHeight="false" outlineLevel="0" collapsed="false">
      <c r="R167" s="1" t="s">
        <v>668</v>
      </c>
      <c r="V167" s="55" t="s">
        <v>338</v>
      </c>
      <c r="W167" s="56" t="n">
        <v>0.5</v>
      </c>
      <c r="X167" s="57" t="n">
        <f aca="false">W167*8/$T$152</f>
        <v>0.0363636363636364</v>
      </c>
      <c r="Y167" s="28" t="n">
        <v>25.63</v>
      </c>
      <c r="Z167" s="28" t="n">
        <f aca="false">X167*Y167</f>
        <v>0.932</v>
      </c>
    </row>
    <row r="168" customFormat="false" ht="15" hidden="false" customHeight="false" outlineLevel="0" collapsed="false">
      <c r="Q168" s="60"/>
      <c r="R168" s="60"/>
      <c r="S168" s="60"/>
      <c r="T168" s="60"/>
      <c r="U168" s="60"/>
      <c r="V168" s="60"/>
      <c r="W168" s="60"/>
      <c r="X168" s="60"/>
      <c r="Y168" s="60"/>
      <c r="Z168" s="89" t="n">
        <f aca="false">SUM(Z166:Z167)</f>
        <v>1.38939636363636</v>
      </c>
    </row>
    <row r="170" customFormat="false" ht="15" hidden="false" customHeight="false" outlineLevel="0" collapsed="false">
      <c r="Q170" s="82" t="s">
        <v>278</v>
      </c>
      <c r="R170" s="82"/>
      <c r="S170" s="82" t="s">
        <v>671</v>
      </c>
      <c r="T170" s="82"/>
    </row>
    <row r="171" customFormat="false" ht="15" hidden="false" customHeight="false" outlineLevel="0" collapsed="false">
      <c r="Q171" s="82" t="s">
        <v>279</v>
      </c>
      <c r="R171" s="82" t="s">
        <v>280</v>
      </c>
      <c r="S171" s="84" t="s">
        <v>281</v>
      </c>
      <c r="T171" s="85" t="n">
        <v>120</v>
      </c>
      <c r="U171" s="84" t="s">
        <v>282</v>
      </c>
      <c r="V171" s="85" t="n">
        <f aca="false">T171</f>
        <v>120</v>
      </c>
      <c r="W171" s="82" t="s">
        <v>283</v>
      </c>
      <c r="Y171" s="84" t="s">
        <v>134</v>
      </c>
      <c r="Z171" s="86" t="n">
        <f aca="false">Z177+Z183+Z187</f>
        <v>27.126394</v>
      </c>
    </row>
    <row r="172" customFormat="false" ht="15" hidden="false" customHeight="false" outlineLevel="0" collapsed="false">
      <c r="Q172" s="82" t="s">
        <v>284</v>
      </c>
      <c r="R172" s="82" t="s">
        <v>285</v>
      </c>
      <c r="V172" s="84" t="s">
        <v>123</v>
      </c>
      <c r="W172" s="84" t="s">
        <v>286</v>
      </c>
      <c r="X172" s="84" t="s">
        <v>287</v>
      </c>
      <c r="Y172" s="84" t="s">
        <v>288</v>
      </c>
      <c r="Z172" s="84" t="s">
        <v>289</v>
      </c>
    </row>
    <row r="173" customFormat="false" ht="15" hidden="false" customHeight="false" outlineLevel="0" collapsed="false">
      <c r="R173" s="87" t="s">
        <v>290</v>
      </c>
    </row>
    <row r="174" customFormat="false" ht="15" hidden="false" customHeight="false" outlineLevel="0" collapsed="false">
      <c r="R174" s="1" t="s">
        <v>291</v>
      </c>
      <c r="V174" s="55" t="s">
        <v>292</v>
      </c>
      <c r="W174" s="56" t="n">
        <v>2</v>
      </c>
      <c r="X174" s="57" t="n">
        <f aca="false">W174*8/$T$171</f>
        <v>0.133333333333333</v>
      </c>
      <c r="Y174" s="28" t="n">
        <v>28.94</v>
      </c>
      <c r="Z174" s="28" t="n">
        <f aca="false">X174*Y174</f>
        <v>3.85866666666667</v>
      </c>
    </row>
    <row r="175" customFormat="false" ht="15" hidden="false" customHeight="false" outlineLevel="0" collapsed="false">
      <c r="R175" s="1" t="s">
        <v>293</v>
      </c>
      <c r="V175" s="55" t="s">
        <v>292</v>
      </c>
      <c r="W175" s="56" t="n">
        <v>2</v>
      </c>
      <c r="X175" s="57" t="n">
        <f aca="false">W175*8/$T$171</f>
        <v>0.133333333333333</v>
      </c>
      <c r="Y175" s="28" t="n">
        <v>23.6</v>
      </c>
      <c r="Z175" s="28" t="n">
        <f aca="false">X175*Y175</f>
        <v>3.14666666666667</v>
      </c>
    </row>
    <row r="176" customFormat="false" ht="15" hidden="false" customHeight="false" outlineLevel="0" collapsed="false">
      <c r="R176" s="1" t="s">
        <v>294</v>
      </c>
      <c r="V176" s="55" t="s">
        <v>292</v>
      </c>
      <c r="W176" s="56" t="n">
        <v>6</v>
      </c>
      <c r="X176" s="57" t="n">
        <f aca="false">W176*8/$T$171</f>
        <v>0.4</v>
      </c>
      <c r="Y176" s="28" t="n">
        <v>21.36</v>
      </c>
      <c r="Z176" s="28" t="n">
        <f aca="false">X176*Y176</f>
        <v>8.544</v>
      </c>
    </row>
    <row r="177" customFormat="false" ht="15" hidden="false" customHeight="false" outlineLevel="0" collapsed="false">
      <c r="V177" s="55"/>
      <c r="W177" s="56"/>
      <c r="X177" s="57"/>
      <c r="Z177" s="86" t="n">
        <f aca="false">SUM(Z174:Z176)</f>
        <v>15.5493333333333</v>
      </c>
    </row>
    <row r="178" customFormat="false" ht="15" hidden="false" customHeight="false" outlineLevel="0" collapsed="false">
      <c r="R178" s="87" t="s">
        <v>654</v>
      </c>
      <c r="V178" s="55"/>
      <c r="W178" s="56"/>
      <c r="X178" s="57"/>
      <c r="Z178" s="28"/>
    </row>
    <row r="179" customFormat="false" ht="15" hidden="false" customHeight="false" outlineLevel="0" collapsed="false">
      <c r="R179" s="1" t="s">
        <v>307</v>
      </c>
      <c r="V179" s="55" t="s">
        <v>308</v>
      </c>
      <c r="X179" s="57" t="n">
        <v>0.19</v>
      </c>
      <c r="Y179" s="28" t="n">
        <v>24.52</v>
      </c>
      <c r="Z179" s="28" t="n">
        <f aca="false">X179*Y179</f>
        <v>4.6588</v>
      </c>
    </row>
    <row r="180" customFormat="false" ht="15" hidden="false" customHeight="false" outlineLevel="0" collapsed="false">
      <c r="R180" s="1" t="s">
        <v>656</v>
      </c>
      <c r="V180" s="55" t="s">
        <v>204</v>
      </c>
      <c r="X180" s="57" t="n">
        <v>0.0081</v>
      </c>
      <c r="Y180" s="1" t="n">
        <v>6.14</v>
      </c>
      <c r="Z180" s="28" t="n">
        <f aca="false">X180*Y180</f>
        <v>0.049734</v>
      </c>
    </row>
    <row r="181" customFormat="false" ht="15" hidden="false" customHeight="false" outlineLevel="0" collapsed="false">
      <c r="R181" s="1" t="s">
        <v>666</v>
      </c>
      <c r="V181" s="55" t="s">
        <v>440</v>
      </c>
      <c r="X181" s="57" t="n">
        <v>0.006</v>
      </c>
      <c r="Y181" s="1" t="n">
        <v>13.93</v>
      </c>
      <c r="Z181" s="28" t="n">
        <f aca="false">X181*Y181</f>
        <v>0.08358</v>
      </c>
    </row>
    <row r="182" customFormat="false" ht="15" hidden="false" customHeight="false" outlineLevel="0" collapsed="false">
      <c r="R182" s="1" t="s">
        <v>303</v>
      </c>
      <c r="V182" s="55" t="s">
        <v>204</v>
      </c>
      <c r="X182" s="57" t="n">
        <v>0.065</v>
      </c>
      <c r="Y182" s="88" t="n">
        <v>70.92</v>
      </c>
      <c r="Z182" s="28" t="n">
        <f aca="false">X182*Y182</f>
        <v>4.6098</v>
      </c>
    </row>
    <row r="183" customFormat="false" ht="15" hidden="false" customHeight="false" outlineLevel="0" collapsed="false">
      <c r="V183" s="55"/>
      <c r="X183" s="57"/>
      <c r="Y183" s="28"/>
      <c r="Z183" s="86" t="n">
        <f aca="false">SUM(Z179:Z182)</f>
        <v>9.401914</v>
      </c>
    </row>
    <row r="184" customFormat="false" ht="15" hidden="false" customHeight="false" outlineLevel="0" collapsed="false">
      <c r="R184" s="87" t="s">
        <v>310</v>
      </c>
    </row>
    <row r="185" customFormat="false" ht="15" hidden="false" customHeight="false" outlineLevel="0" collapsed="false">
      <c r="R185" s="1" t="s">
        <v>311</v>
      </c>
      <c r="V185" s="55" t="s">
        <v>312</v>
      </c>
      <c r="X185" s="57" t="n">
        <v>3</v>
      </c>
      <c r="Y185" s="28" t="n">
        <f aca="false">Z177</f>
        <v>15.5493333333333</v>
      </c>
      <c r="Z185" s="28" t="n">
        <f aca="false">X185%*Y185</f>
        <v>0.46648</v>
      </c>
    </row>
    <row r="186" customFormat="false" ht="15" hidden="false" customHeight="false" outlineLevel="0" collapsed="false">
      <c r="R186" s="1" t="s">
        <v>668</v>
      </c>
      <c r="V186" s="55" t="s">
        <v>338</v>
      </c>
      <c r="W186" s="56" t="n">
        <v>1</v>
      </c>
      <c r="X186" s="57" t="n">
        <f aca="false">W186*8/$T$171</f>
        <v>0.0666666666666667</v>
      </c>
      <c r="Y186" s="28" t="n">
        <v>25.63</v>
      </c>
      <c r="Z186" s="28" t="n">
        <f aca="false">X186*Y186</f>
        <v>1.70866666666667</v>
      </c>
    </row>
    <row r="187" customFormat="false" ht="15" hidden="false" customHeight="false" outlineLevel="0" collapsed="false">
      <c r="Q187" s="60"/>
      <c r="R187" s="60"/>
      <c r="S187" s="60"/>
      <c r="T187" s="60"/>
      <c r="U187" s="60"/>
      <c r="V187" s="60"/>
      <c r="W187" s="60"/>
      <c r="X187" s="60"/>
      <c r="Y187" s="60"/>
      <c r="Z187" s="89" t="n">
        <f aca="false">SUM(Z185:Z186)</f>
        <v>2.17514666666667</v>
      </c>
    </row>
    <row r="189" customFormat="false" ht="15" hidden="false" customHeight="false" outlineLevel="0" collapsed="false">
      <c r="Q189" s="82" t="s">
        <v>278</v>
      </c>
      <c r="R189" s="82"/>
      <c r="S189" s="82" t="s">
        <v>497</v>
      </c>
      <c r="T189" s="82"/>
    </row>
    <row r="190" customFormat="false" ht="15" hidden="false" customHeight="false" outlineLevel="0" collapsed="false">
      <c r="Q190" s="82" t="s">
        <v>279</v>
      </c>
      <c r="R190" s="82" t="s">
        <v>417</v>
      </c>
      <c r="S190" s="84" t="s">
        <v>281</v>
      </c>
      <c r="T190" s="85" t="n">
        <v>25</v>
      </c>
      <c r="U190" s="84" t="s">
        <v>282</v>
      </c>
      <c r="V190" s="85" t="n">
        <f aca="false">T190</f>
        <v>25</v>
      </c>
      <c r="W190" s="82" t="s">
        <v>283</v>
      </c>
      <c r="Y190" s="84" t="s">
        <v>204</v>
      </c>
      <c r="Z190" s="86" t="n">
        <f aca="false">Z196+Z204+Z209</f>
        <v>426.397544</v>
      </c>
    </row>
    <row r="191" customFormat="false" ht="15" hidden="false" customHeight="false" outlineLevel="0" collapsed="false">
      <c r="Q191" s="82" t="s">
        <v>284</v>
      </c>
      <c r="R191" s="82" t="s">
        <v>285</v>
      </c>
      <c r="V191" s="84" t="s">
        <v>123</v>
      </c>
      <c r="W191" s="84" t="s">
        <v>286</v>
      </c>
      <c r="X191" s="84" t="s">
        <v>287</v>
      </c>
      <c r="Y191" s="84" t="s">
        <v>288</v>
      </c>
      <c r="Z191" s="84" t="s">
        <v>289</v>
      </c>
    </row>
    <row r="192" customFormat="false" ht="15" hidden="false" customHeight="false" outlineLevel="0" collapsed="false">
      <c r="R192" s="87" t="s">
        <v>290</v>
      </c>
    </row>
    <row r="193" customFormat="false" ht="15" hidden="false" customHeight="false" outlineLevel="0" collapsed="false">
      <c r="R193" s="1" t="s">
        <v>291</v>
      </c>
      <c r="V193" s="55" t="s">
        <v>292</v>
      </c>
      <c r="W193" s="56" t="n">
        <v>2</v>
      </c>
      <c r="X193" s="57" t="n">
        <f aca="false">W193*8/$T$190</f>
        <v>0.64</v>
      </c>
      <c r="Y193" s="28" t="n">
        <v>28.94</v>
      </c>
      <c r="Z193" s="28" t="n">
        <f aca="false">X193*Y193</f>
        <v>18.5216</v>
      </c>
    </row>
    <row r="194" customFormat="false" ht="15" hidden="false" customHeight="false" outlineLevel="0" collapsed="false">
      <c r="R194" s="1" t="s">
        <v>293</v>
      </c>
      <c r="V194" s="55" t="s">
        <v>292</v>
      </c>
      <c r="W194" s="56" t="n">
        <v>2</v>
      </c>
      <c r="X194" s="57" t="n">
        <f aca="false">W194*8/$T$190</f>
        <v>0.64</v>
      </c>
      <c r="Y194" s="28" t="n">
        <v>23.6</v>
      </c>
      <c r="Z194" s="28" t="n">
        <f aca="false">X194*Y194</f>
        <v>15.104</v>
      </c>
    </row>
    <row r="195" customFormat="false" ht="15" hidden="false" customHeight="false" outlineLevel="0" collapsed="false">
      <c r="R195" s="1" t="s">
        <v>294</v>
      </c>
      <c r="V195" s="55" t="s">
        <v>292</v>
      </c>
      <c r="W195" s="56" t="n">
        <v>6</v>
      </c>
      <c r="X195" s="57" t="n">
        <f aca="false">W195*8/$T$190</f>
        <v>1.92</v>
      </c>
      <c r="Y195" s="28" t="n">
        <v>21.36</v>
      </c>
      <c r="Z195" s="28" t="n">
        <f aca="false">X195*Y195</f>
        <v>41.0112</v>
      </c>
    </row>
    <row r="196" customFormat="false" ht="15" hidden="false" customHeight="false" outlineLevel="0" collapsed="false">
      <c r="V196" s="55"/>
      <c r="W196" s="56"/>
      <c r="X196" s="57"/>
      <c r="Z196" s="86" t="n">
        <f aca="false">SUM(Z193:Z195)</f>
        <v>74.6368</v>
      </c>
    </row>
    <row r="197" customFormat="false" ht="15" hidden="false" customHeight="false" outlineLevel="0" collapsed="false">
      <c r="R197" s="87" t="s">
        <v>654</v>
      </c>
      <c r="V197" s="55"/>
      <c r="W197" s="56"/>
      <c r="X197" s="57"/>
      <c r="Z197" s="28"/>
    </row>
    <row r="198" customFormat="false" ht="15" hidden="false" customHeight="false" outlineLevel="0" collapsed="false">
      <c r="R198" s="1" t="s">
        <v>673</v>
      </c>
      <c r="V198" s="55" t="s">
        <v>204</v>
      </c>
      <c r="X198" s="57" t="n">
        <v>0.53</v>
      </c>
      <c r="Y198" s="28" t="n">
        <v>55.08</v>
      </c>
      <c r="Z198" s="28" t="n">
        <f aca="false">X198*Y198</f>
        <v>29.1924</v>
      </c>
    </row>
    <row r="199" customFormat="false" ht="15" hidden="false" customHeight="false" outlineLevel="0" collapsed="false">
      <c r="R199" s="1" t="s">
        <v>674</v>
      </c>
      <c r="V199" s="55" t="s">
        <v>204</v>
      </c>
      <c r="X199" s="57" t="n">
        <v>0.52</v>
      </c>
      <c r="Y199" s="28" t="n">
        <v>47</v>
      </c>
      <c r="Z199" s="28" t="n">
        <f aca="false">X199*Y199</f>
        <v>24.44</v>
      </c>
    </row>
    <row r="200" customFormat="false" ht="15" hidden="false" customHeight="false" outlineLevel="0" collapsed="false">
      <c r="R200" s="1" t="s">
        <v>307</v>
      </c>
      <c r="V200" s="55" t="s">
        <v>308</v>
      </c>
      <c r="X200" s="57" t="n">
        <v>9.73</v>
      </c>
      <c r="Y200" s="28" t="n">
        <v>24.52</v>
      </c>
      <c r="Z200" s="28" t="n">
        <f aca="false">X200*Y200</f>
        <v>238.5796</v>
      </c>
    </row>
    <row r="201" customFormat="false" ht="15" hidden="false" customHeight="false" outlineLevel="0" collapsed="false">
      <c r="R201" s="1" t="s">
        <v>656</v>
      </c>
      <c r="V201" s="55" t="s">
        <v>204</v>
      </c>
      <c r="X201" s="57" t="n">
        <v>0.186</v>
      </c>
      <c r="Y201" s="1" t="n">
        <v>6.14</v>
      </c>
      <c r="Z201" s="28" t="n">
        <f aca="false">X201*Y201</f>
        <v>1.14204</v>
      </c>
    </row>
    <row r="202" customFormat="false" ht="15" hidden="false" customHeight="false" outlineLevel="0" collapsed="false">
      <c r="R202" s="1" t="s">
        <v>666</v>
      </c>
      <c r="V202" s="55" t="s">
        <v>440</v>
      </c>
      <c r="X202" s="57" t="n">
        <v>0.36</v>
      </c>
      <c r="Y202" s="1" t="n">
        <v>13.93</v>
      </c>
      <c r="Z202" s="28" t="n">
        <f aca="false">X202*Y202</f>
        <v>5.0148</v>
      </c>
    </row>
    <row r="203" customFormat="false" ht="15" hidden="false" customHeight="false" outlineLevel="0" collapsed="false">
      <c r="R203" s="1" t="s">
        <v>675</v>
      </c>
      <c r="V203" s="55" t="s">
        <v>440</v>
      </c>
      <c r="X203" s="57" t="n">
        <v>1.5</v>
      </c>
      <c r="Y203" s="88" t="n">
        <v>27.88</v>
      </c>
      <c r="Z203" s="28" t="n">
        <f aca="false">X203*Y203</f>
        <v>41.82</v>
      </c>
    </row>
    <row r="204" customFormat="false" ht="15" hidden="false" customHeight="false" outlineLevel="0" collapsed="false">
      <c r="V204" s="55"/>
      <c r="X204" s="57"/>
      <c r="Y204" s="28"/>
      <c r="Z204" s="86" t="n">
        <f aca="false">SUM(Z198:Z203)</f>
        <v>340.18884</v>
      </c>
    </row>
    <row r="205" customFormat="false" ht="15" hidden="false" customHeight="false" outlineLevel="0" collapsed="false">
      <c r="R205" s="87" t="s">
        <v>310</v>
      </c>
    </row>
    <row r="206" customFormat="false" ht="15" hidden="false" customHeight="false" outlineLevel="0" collapsed="false">
      <c r="R206" s="1" t="s">
        <v>311</v>
      </c>
      <c r="V206" s="55" t="s">
        <v>312</v>
      </c>
      <c r="X206" s="57" t="n">
        <v>3</v>
      </c>
      <c r="Y206" s="28" t="n">
        <f aca="false">Z196</f>
        <v>74.6368</v>
      </c>
      <c r="Z206" s="28" t="n">
        <f aca="false">X206%*Y206</f>
        <v>2.239104</v>
      </c>
    </row>
    <row r="207" customFormat="false" ht="15" hidden="false" customHeight="false" outlineLevel="0" collapsed="false">
      <c r="R207" s="1" t="s">
        <v>668</v>
      </c>
      <c r="V207" s="55" t="s">
        <v>338</v>
      </c>
      <c r="W207" s="56" t="n">
        <v>1</v>
      </c>
      <c r="X207" s="57" t="n">
        <f aca="false">W207*8/$T$190</f>
        <v>0.32</v>
      </c>
      <c r="Y207" s="28" t="n">
        <v>25.63</v>
      </c>
      <c r="Z207" s="28" t="n">
        <f aca="false">X207*Y207</f>
        <v>8.2016</v>
      </c>
    </row>
    <row r="208" customFormat="false" ht="15" hidden="false" customHeight="false" outlineLevel="0" collapsed="false">
      <c r="R208" s="1" t="s">
        <v>676</v>
      </c>
      <c r="V208" s="55" t="s">
        <v>338</v>
      </c>
      <c r="W208" s="56" t="n">
        <v>0.5</v>
      </c>
      <c r="X208" s="57" t="n">
        <f aca="false">W208*8/$T$190</f>
        <v>0.16</v>
      </c>
      <c r="Y208" s="28" t="n">
        <v>7.07</v>
      </c>
      <c r="Z208" s="28" t="n">
        <f aca="false">X208*Y208</f>
        <v>1.1312</v>
      </c>
    </row>
    <row r="209" customFormat="false" ht="15" hidden="false" customHeight="false" outlineLevel="0" collapsed="false">
      <c r="Q209" s="60"/>
      <c r="R209" s="60"/>
      <c r="S209" s="60"/>
      <c r="T209" s="60"/>
      <c r="U209" s="60"/>
      <c r="V209" s="60"/>
      <c r="W209" s="60"/>
      <c r="X209" s="60"/>
      <c r="Y209" s="60"/>
      <c r="Z209" s="89" t="n">
        <f aca="false">SUM(Z206:Z208)</f>
        <v>11.571904</v>
      </c>
    </row>
    <row r="211" customFormat="false" ht="15" hidden="false" customHeight="false" outlineLevel="0" collapsed="false">
      <c r="Q211" s="82" t="s">
        <v>278</v>
      </c>
      <c r="R211" s="82"/>
      <c r="S211" s="82" t="s">
        <v>677</v>
      </c>
      <c r="T211" s="82"/>
    </row>
    <row r="212" customFormat="false" ht="15" hidden="false" customHeight="false" outlineLevel="0" collapsed="false">
      <c r="Q212" s="82" t="s">
        <v>279</v>
      </c>
      <c r="R212" s="82" t="s">
        <v>280</v>
      </c>
      <c r="S212" s="84" t="s">
        <v>281</v>
      </c>
      <c r="T212" s="85" t="n">
        <v>8</v>
      </c>
      <c r="U212" s="84" t="s">
        <v>282</v>
      </c>
      <c r="V212" s="85" t="n">
        <f aca="false">T212</f>
        <v>8</v>
      </c>
      <c r="W212" s="82" t="s">
        <v>283</v>
      </c>
      <c r="Y212" s="84" t="s">
        <v>134</v>
      </c>
      <c r="Z212" s="86" t="n">
        <f aca="false">Z217+Z222+Z225</f>
        <v>75.1142</v>
      </c>
    </row>
    <row r="213" customFormat="false" ht="15" hidden="false" customHeight="false" outlineLevel="0" collapsed="false">
      <c r="Q213" s="82" t="s">
        <v>284</v>
      </c>
      <c r="R213" s="82" t="s">
        <v>285</v>
      </c>
      <c r="V213" s="84" t="s">
        <v>123</v>
      </c>
      <c r="W213" s="84" t="s">
        <v>286</v>
      </c>
      <c r="X213" s="84" t="s">
        <v>287</v>
      </c>
      <c r="Y213" s="84" t="s">
        <v>288</v>
      </c>
      <c r="Z213" s="84" t="s">
        <v>289</v>
      </c>
    </row>
    <row r="214" customFormat="false" ht="15" hidden="false" customHeight="false" outlineLevel="0" collapsed="false">
      <c r="R214" s="87" t="s">
        <v>290</v>
      </c>
    </row>
    <row r="215" customFormat="false" ht="15" hidden="false" customHeight="false" outlineLevel="0" collapsed="false">
      <c r="R215" s="1" t="s">
        <v>291</v>
      </c>
      <c r="V215" s="55" t="s">
        <v>292</v>
      </c>
      <c r="W215" s="56" t="n">
        <v>1</v>
      </c>
      <c r="X215" s="57" t="n">
        <f aca="false">W215*8/$T$212</f>
        <v>1</v>
      </c>
      <c r="Y215" s="28" t="n">
        <v>28.94</v>
      </c>
      <c r="Z215" s="28" t="n">
        <f aca="false">X215*Y215</f>
        <v>28.94</v>
      </c>
    </row>
    <row r="216" customFormat="false" ht="15" hidden="false" customHeight="false" outlineLevel="0" collapsed="false">
      <c r="R216" s="1" t="s">
        <v>293</v>
      </c>
      <c r="V216" s="55" t="s">
        <v>292</v>
      </c>
      <c r="W216" s="56" t="n">
        <v>1</v>
      </c>
      <c r="X216" s="57" t="n">
        <f aca="false">W216*8/$T$212</f>
        <v>1</v>
      </c>
      <c r="Y216" s="28" t="n">
        <v>23.6</v>
      </c>
      <c r="Z216" s="28" t="n">
        <f aca="false">X216*Y216</f>
        <v>23.6</v>
      </c>
    </row>
    <row r="217" customFormat="false" ht="15" hidden="false" customHeight="false" outlineLevel="0" collapsed="false">
      <c r="V217" s="55"/>
      <c r="W217" s="56"/>
      <c r="X217" s="57"/>
      <c r="Z217" s="86" t="n">
        <f aca="false">SUM(Z215:Z216)</f>
        <v>52.54</v>
      </c>
    </row>
    <row r="218" customFormat="false" ht="15" hidden="false" customHeight="false" outlineLevel="0" collapsed="false">
      <c r="R218" s="87" t="s">
        <v>654</v>
      </c>
      <c r="V218" s="55"/>
      <c r="W218" s="56"/>
      <c r="X218" s="57"/>
      <c r="Z218" s="28"/>
    </row>
    <row r="219" customFormat="false" ht="15" hidden="false" customHeight="false" outlineLevel="0" collapsed="false">
      <c r="R219" s="1" t="s">
        <v>678</v>
      </c>
      <c r="V219" s="55" t="s">
        <v>297</v>
      </c>
      <c r="X219" s="57" t="n">
        <v>0.26</v>
      </c>
      <c r="Y219" s="28" t="n">
        <v>2.64</v>
      </c>
      <c r="Z219" s="28" t="n">
        <f aca="false">X219*Y219</f>
        <v>0.6864</v>
      </c>
    </row>
    <row r="220" customFormat="false" ht="15" hidden="false" customHeight="false" outlineLevel="0" collapsed="false">
      <c r="R220" s="1" t="s">
        <v>302</v>
      </c>
      <c r="V220" s="55" t="s">
        <v>297</v>
      </c>
      <c r="X220" s="57" t="n">
        <v>0.16</v>
      </c>
      <c r="Y220" s="28" t="n">
        <v>5.51</v>
      </c>
      <c r="Z220" s="28" t="n">
        <f aca="false">X220*Y220</f>
        <v>0.8816</v>
      </c>
    </row>
    <row r="221" customFormat="false" ht="15" hidden="false" customHeight="false" outlineLevel="0" collapsed="false">
      <c r="R221" s="1" t="s">
        <v>670</v>
      </c>
      <c r="V221" s="55" t="s">
        <v>306</v>
      </c>
      <c r="X221" s="57" t="n">
        <v>3.35</v>
      </c>
      <c r="Y221" s="28" t="n">
        <v>5.8</v>
      </c>
      <c r="Z221" s="28" t="n">
        <f aca="false">X221*Y221</f>
        <v>19.43</v>
      </c>
    </row>
    <row r="222" customFormat="false" ht="15" hidden="false" customHeight="false" outlineLevel="0" collapsed="false">
      <c r="V222" s="55"/>
      <c r="X222" s="57"/>
      <c r="Y222" s="28"/>
      <c r="Z222" s="86" t="n">
        <f aca="false">SUM(Z219:Z221)</f>
        <v>20.998</v>
      </c>
    </row>
    <row r="223" customFormat="false" ht="15" hidden="false" customHeight="false" outlineLevel="0" collapsed="false">
      <c r="R223" s="87" t="s">
        <v>310</v>
      </c>
    </row>
    <row r="224" customFormat="false" ht="15" hidden="false" customHeight="false" outlineLevel="0" collapsed="false">
      <c r="R224" s="1" t="s">
        <v>311</v>
      </c>
      <c r="V224" s="55" t="s">
        <v>312</v>
      </c>
      <c r="X224" s="57" t="n">
        <v>3</v>
      </c>
      <c r="Y224" s="28" t="n">
        <f aca="false">Z217</f>
        <v>52.54</v>
      </c>
      <c r="Z224" s="28" t="n">
        <f aca="false">X224%*Y224</f>
        <v>1.5762</v>
      </c>
    </row>
    <row r="225" customFormat="false" ht="15" hidden="false" customHeight="false" outlineLevel="0" collapsed="false">
      <c r="Q225" s="60"/>
      <c r="R225" s="60"/>
      <c r="S225" s="60"/>
      <c r="T225" s="60"/>
      <c r="U225" s="60"/>
      <c r="V225" s="60"/>
      <c r="W225" s="60"/>
      <c r="X225" s="60"/>
      <c r="Y225" s="60"/>
      <c r="Z225" s="89" t="n">
        <f aca="false">SUM(Z224)</f>
        <v>1.5762</v>
      </c>
    </row>
    <row r="228" customFormat="false" ht="15" hidden="false" customHeight="false" outlineLevel="0" collapsed="false">
      <c r="Q228" s="82" t="s">
        <v>278</v>
      </c>
      <c r="R228" s="82"/>
      <c r="S228" s="82" t="s">
        <v>499</v>
      </c>
      <c r="T228" s="82"/>
    </row>
    <row r="229" customFormat="false" ht="15" hidden="false" customHeight="false" outlineLevel="0" collapsed="false">
      <c r="Q229" s="82" t="s">
        <v>279</v>
      </c>
      <c r="R229" s="82" t="s">
        <v>679</v>
      </c>
      <c r="S229" s="84" t="s">
        <v>281</v>
      </c>
      <c r="T229" s="85" t="n">
        <v>250</v>
      </c>
      <c r="U229" s="84" t="s">
        <v>282</v>
      </c>
      <c r="V229" s="85" t="n">
        <f aca="false">T229</f>
        <v>250</v>
      </c>
      <c r="W229" s="82" t="s">
        <v>283</v>
      </c>
      <c r="Y229" s="84" t="s">
        <v>297</v>
      </c>
      <c r="Z229" s="86" t="n">
        <f aca="false">Z234+Z238+Z242</f>
        <v>5.5639628445</v>
      </c>
    </row>
    <row r="230" customFormat="false" ht="15" hidden="false" customHeight="false" outlineLevel="0" collapsed="false">
      <c r="Q230" s="82" t="s">
        <v>284</v>
      </c>
      <c r="R230" s="82" t="s">
        <v>285</v>
      </c>
      <c r="V230" s="84" t="s">
        <v>123</v>
      </c>
      <c r="W230" s="84" t="s">
        <v>286</v>
      </c>
      <c r="X230" s="84" t="s">
        <v>287</v>
      </c>
      <c r="Y230" s="84" t="s">
        <v>288</v>
      </c>
      <c r="Z230" s="84" t="s">
        <v>289</v>
      </c>
    </row>
    <row r="231" customFormat="false" ht="15" hidden="false" customHeight="false" outlineLevel="0" collapsed="false">
      <c r="R231" s="87" t="s">
        <v>290</v>
      </c>
      <c r="W231" s="56"/>
    </row>
    <row r="232" customFormat="false" ht="15" hidden="false" customHeight="false" outlineLevel="0" collapsed="false">
      <c r="R232" s="1" t="s">
        <v>291</v>
      </c>
      <c r="V232" s="55" t="s">
        <v>292</v>
      </c>
      <c r="W232" s="56" t="n">
        <v>1</v>
      </c>
      <c r="X232" s="99" t="n">
        <f aca="false">W232*8/$T$229</f>
        <v>0.032</v>
      </c>
      <c r="Y232" s="28" t="n">
        <v>28.94</v>
      </c>
      <c r="Z232" s="28" t="n">
        <f aca="false">X232*Y232</f>
        <v>0.92608</v>
      </c>
    </row>
    <row r="233" customFormat="false" ht="15" hidden="false" customHeight="false" outlineLevel="0" collapsed="false">
      <c r="R233" s="1" t="s">
        <v>680</v>
      </c>
      <c r="V233" s="55" t="s">
        <v>292</v>
      </c>
      <c r="W233" s="56" t="n">
        <v>1</v>
      </c>
      <c r="X233" s="99" t="n">
        <f aca="false">W233*8/$T$229</f>
        <v>0.032</v>
      </c>
      <c r="Y233" s="28" t="n">
        <v>23.6</v>
      </c>
      <c r="Z233" s="28" t="n">
        <f aca="false">X233*Y233</f>
        <v>0.7552</v>
      </c>
    </row>
    <row r="234" customFormat="false" ht="15" hidden="false" customHeight="false" outlineLevel="0" collapsed="false">
      <c r="V234" s="55"/>
      <c r="W234" s="56"/>
      <c r="Z234" s="86" t="n">
        <f aca="false">SUM(Z232:Z233)</f>
        <v>1.68128</v>
      </c>
    </row>
    <row r="235" customFormat="false" ht="15" hidden="false" customHeight="false" outlineLevel="0" collapsed="false">
      <c r="R235" s="87" t="s">
        <v>295</v>
      </c>
      <c r="V235" s="55"/>
      <c r="W235" s="56"/>
      <c r="X235" s="99"/>
    </row>
    <row r="236" customFormat="false" ht="15" hidden="false" customHeight="false" outlineLevel="0" collapsed="false">
      <c r="R236" s="1" t="s">
        <v>296</v>
      </c>
      <c r="V236" s="55" t="s">
        <v>297</v>
      </c>
      <c r="W236" s="56"/>
      <c r="X236" s="99" t="n">
        <v>0.03</v>
      </c>
      <c r="Y236" s="28" t="n">
        <v>2.64</v>
      </c>
      <c r="Z236" s="28" t="n">
        <f aca="false">X236*Y236</f>
        <v>0.0792</v>
      </c>
    </row>
    <row r="237" customFormat="false" ht="15" hidden="false" customHeight="false" outlineLevel="0" collapsed="false">
      <c r="R237" s="1" t="s">
        <v>681</v>
      </c>
      <c r="V237" s="55" t="s">
        <v>297</v>
      </c>
      <c r="W237" s="56"/>
      <c r="X237" s="99" t="n">
        <v>1.05</v>
      </c>
      <c r="Y237" s="28" t="n">
        <f aca="false">1012.71*3.379/1000</f>
        <v>3.42194709</v>
      </c>
      <c r="Z237" s="28" t="n">
        <f aca="false">X237*Y237</f>
        <v>3.5930444445</v>
      </c>
    </row>
    <row r="238" customFormat="false" ht="15" hidden="false" customHeight="false" outlineLevel="0" collapsed="false">
      <c r="V238" s="55"/>
      <c r="W238" s="56"/>
      <c r="Z238" s="86" t="n">
        <f aca="false">SUM(Z236:Z237)</f>
        <v>3.6722444445</v>
      </c>
    </row>
    <row r="239" customFormat="false" ht="15" hidden="false" customHeight="false" outlineLevel="0" collapsed="false">
      <c r="R239" s="87" t="s">
        <v>318</v>
      </c>
      <c r="V239" s="55"/>
      <c r="W239" s="56"/>
    </row>
    <row r="240" customFormat="false" ht="15" hidden="false" customHeight="false" outlineLevel="0" collapsed="false">
      <c r="R240" s="1" t="s">
        <v>311</v>
      </c>
      <c r="V240" s="55" t="s">
        <v>312</v>
      </c>
      <c r="X240" s="57" t="n">
        <v>3</v>
      </c>
      <c r="Y240" s="28" t="n">
        <f aca="false">Z234</f>
        <v>1.68128</v>
      </c>
      <c r="Z240" s="28" t="n">
        <f aca="false">X240%*Y240</f>
        <v>0.0504384</v>
      </c>
    </row>
    <row r="241" customFormat="false" ht="15" hidden="false" customHeight="false" outlineLevel="0" collapsed="false">
      <c r="R241" s="1" t="s">
        <v>682</v>
      </c>
      <c r="V241" s="55" t="s">
        <v>292</v>
      </c>
      <c r="W241" s="56" t="n">
        <v>1</v>
      </c>
      <c r="X241" s="99" t="n">
        <f aca="false">W241*8/$T$229</f>
        <v>0.032</v>
      </c>
      <c r="Y241" s="46" t="n">
        <v>5</v>
      </c>
      <c r="Z241" s="28" t="n">
        <f aca="false">X241*Y241</f>
        <v>0.16</v>
      </c>
    </row>
    <row r="242" customFormat="false" ht="15" hidden="false" customHeight="false" outlineLevel="0" collapsed="false">
      <c r="Q242" s="60"/>
      <c r="R242" s="60"/>
      <c r="S242" s="60"/>
      <c r="T242" s="60"/>
      <c r="U242" s="60"/>
      <c r="V242" s="60"/>
      <c r="W242" s="60"/>
      <c r="X242" s="60"/>
      <c r="Y242" s="60"/>
      <c r="Z242" s="89" t="n">
        <f aca="false">SUM(Z240:Z241)</f>
        <v>0.2104384</v>
      </c>
    </row>
    <row r="244" customFormat="false" ht="15" hidden="false" customHeight="false" outlineLevel="0" collapsed="false">
      <c r="Q244" s="82" t="s">
        <v>278</v>
      </c>
      <c r="R244" s="82"/>
      <c r="S244" s="82" t="s">
        <v>511</v>
      </c>
      <c r="T244" s="82"/>
    </row>
    <row r="245" customFormat="false" ht="15" hidden="false" customHeight="false" outlineLevel="0" collapsed="false">
      <c r="Q245" s="82" t="s">
        <v>279</v>
      </c>
      <c r="R245" s="82" t="s">
        <v>417</v>
      </c>
      <c r="S245" s="84" t="s">
        <v>281</v>
      </c>
      <c r="T245" s="85" t="n">
        <v>20</v>
      </c>
      <c r="U245" s="84" t="s">
        <v>282</v>
      </c>
      <c r="V245" s="85" t="n">
        <f aca="false">T245</f>
        <v>20</v>
      </c>
      <c r="W245" s="82" t="s">
        <v>283</v>
      </c>
      <c r="Y245" s="84" t="s">
        <v>204</v>
      </c>
      <c r="Z245" s="86" t="n">
        <f aca="false">Z251+Z259+Z264</f>
        <v>438.22652</v>
      </c>
    </row>
    <row r="246" customFormat="false" ht="15" hidden="false" customHeight="false" outlineLevel="0" collapsed="false">
      <c r="Q246" s="82" t="s">
        <v>284</v>
      </c>
      <c r="R246" s="82" t="s">
        <v>285</v>
      </c>
      <c r="V246" s="84" t="s">
        <v>123</v>
      </c>
      <c r="W246" s="84" t="s">
        <v>286</v>
      </c>
      <c r="X246" s="84" t="s">
        <v>287</v>
      </c>
      <c r="Y246" s="84" t="s">
        <v>288</v>
      </c>
      <c r="Z246" s="84" t="s">
        <v>289</v>
      </c>
    </row>
    <row r="247" customFormat="false" ht="15" hidden="false" customHeight="false" outlineLevel="0" collapsed="false">
      <c r="R247" s="87" t="s">
        <v>290</v>
      </c>
    </row>
    <row r="248" customFormat="false" ht="15" hidden="false" customHeight="false" outlineLevel="0" collapsed="false">
      <c r="R248" s="1" t="s">
        <v>291</v>
      </c>
      <c r="V248" s="55" t="s">
        <v>292</v>
      </c>
      <c r="W248" s="56" t="n">
        <v>2</v>
      </c>
      <c r="X248" s="57" t="n">
        <f aca="false">W248*8/$T$245</f>
        <v>0.8</v>
      </c>
      <c r="Y248" s="28" t="n">
        <v>28.94</v>
      </c>
      <c r="Z248" s="28" t="n">
        <f aca="false">X248*Y248</f>
        <v>23.152</v>
      </c>
    </row>
    <row r="249" customFormat="false" ht="15" hidden="false" customHeight="false" outlineLevel="0" collapsed="false">
      <c r="R249" s="1" t="s">
        <v>293</v>
      </c>
      <c r="V249" s="55" t="s">
        <v>292</v>
      </c>
      <c r="W249" s="56" t="n">
        <v>1</v>
      </c>
      <c r="X249" s="57" t="n">
        <f aca="false">W249*8/$T$245</f>
        <v>0.4</v>
      </c>
      <c r="Y249" s="28" t="n">
        <v>23.6</v>
      </c>
      <c r="Z249" s="28" t="n">
        <f aca="false">X249*Y249</f>
        <v>9.44</v>
      </c>
    </row>
    <row r="250" customFormat="false" ht="15" hidden="false" customHeight="false" outlineLevel="0" collapsed="false">
      <c r="R250" s="1" t="s">
        <v>294</v>
      </c>
      <c r="V250" s="55" t="s">
        <v>292</v>
      </c>
      <c r="W250" s="56" t="n">
        <v>6</v>
      </c>
      <c r="X250" s="57" t="n">
        <f aca="false">W250*8/$T$245</f>
        <v>2.4</v>
      </c>
      <c r="Y250" s="28" t="n">
        <v>21.36</v>
      </c>
      <c r="Z250" s="28" t="n">
        <f aca="false">X250*Y250</f>
        <v>51.264</v>
      </c>
    </row>
    <row r="251" customFormat="false" ht="15" hidden="false" customHeight="false" outlineLevel="0" collapsed="false">
      <c r="V251" s="55"/>
      <c r="W251" s="56"/>
      <c r="X251" s="57"/>
      <c r="Z251" s="86" t="n">
        <f aca="false">SUM(Z248:Z250)</f>
        <v>83.856</v>
      </c>
    </row>
    <row r="252" customFormat="false" ht="15" hidden="false" customHeight="false" outlineLevel="0" collapsed="false">
      <c r="R252" s="87" t="s">
        <v>654</v>
      </c>
      <c r="V252" s="55"/>
      <c r="W252" s="56"/>
      <c r="X252" s="57"/>
      <c r="Z252" s="28"/>
    </row>
    <row r="253" customFormat="false" ht="15" hidden="false" customHeight="false" outlineLevel="0" collapsed="false">
      <c r="R253" s="1" t="s">
        <v>673</v>
      </c>
      <c r="V253" s="55" t="s">
        <v>204</v>
      </c>
      <c r="X253" s="57" t="n">
        <v>0.53</v>
      </c>
      <c r="Y253" s="28" t="n">
        <v>55.08</v>
      </c>
      <c r="Z253" s="28" t="n">
        <f aca="false">X253*Y253</f>
        <v>29.1924</v>
      </c>
    </row>
    <row r="254" customFormat="false" ht="15" hidden="false" customHeight="false" outlineLevel="0" collapsed="false">
      <c r="R254" s="1" t="s">
        <v>674</v>
      </c>
      <c r="V254" s="55" t="s">
        <v>204</v>
      </c>
      <c r="X254" s="57" t="n">
        <v>0.52</v>
      </c>
      <c r="Y254" s="28" t="n">
        <v>47</v>
      </c>
      <c r="Z254" s="28" t="n">
        <f aca="false">X254*Y254</f>
        <v>24.44</v>
      </c>
    </row>
    <row r="255" customFormat="false" ht="15" hidden="false" customHeight="false" outlineLevel="0" collapsed="false">
      <c r="R255" s="1" t="s">
        <v>307</v>
      </c>
      <c r="V255" s="55" t="s">
        <v>308</v>
      </c>
      <c r="X255" s="57" t="n">
        <v>9.73</v>
      </c>
      <c r="Y255" s="28" t="n">
        <v>24.52</v>
      </c>
      <c r="Z255" s="28" t="n">
        <f aca="false">X255*Y255</f>
        <v>238.5796</v>
      </c>
    </row>
    <row r="256" customFormat="false" ht="15" hidden="false" customHeight="false" outlineLevel="0" collapsed="false">
      <c r="R256" s="1" t="s">
        <v>656</v>
      </c>
      <c r="V256" s="55" t="s">
        <v>204</v>
      </c>
      <c r="X256" s="57" t="n">
        <v>0.186</v>
      </c>
      <c r="Y256" s="1" t="n">
        <v>6.14</v>
      </c>
      <c r="Z256" s="28" t="n">
        <f aca="false">X256*Y256</f>
        <v>1.14204</v>
      </c>
    </row>
    <row r="257" customFormat="false" ht="15" hidden="false" customHeight="false" outlineLevel="0" collapsed="false">
      <c r="R257" s="1" t="s">
        <v>666</v>
      </c>
      <c r="V257" s="55" t="s">
        <v>440</v>
      </c>
      <c r="X257" s="57" t="n">
        <v>0.36</v>
      </c>
      <c r="Y257" s="1" t="n">
        <v>13.93</v>
      </c>
      <c r="Z257" s="28" t="n">
        <f aca="false">X257*Y257</f>
        <v>5.0148</v>
      </c>
    </row>
    <row r="258" customFormat="false" ht="15" hidden="false" customHeight="false" outlineLevel="0" collapsed="false">
      <c r="R258" s="1" t="s">
        <v>675</v>
      </c>
      <c r="V258" s="55" t="s">
        <v>440</v>
      </c>
      <c r="X258" s="57" t="n">
        <v>1.5</v>
      </c>
      <c r="Y258" s="88" t="n">
        <v>27.88</v>
      </c>
      <c r="Z258" s="28" t="n">
        <f aca="false">X258*Y258</f>
        <v>41.82</v>
      </c>
    </row>
    <row r="259" customFormat="false" ht="15" hidden="false" customHeight="false" outlineLevel="0" collapsed="false">
      <c r="V259" s="55"/>
      <c r="X259" s="57"/>
      <c r="Y259" s="28"/>
      <c r="Z259" s="86" t="n">
        <f aca="false">SUM(Z253:Z258)</f>
        <v>340.18884</v>
      </c>
    </row>
    <row r="260" customFormat="false" ht="15" hidden="false" customHeight="false" outlineLevel="0" collapsed="false">
      <c r="R260" s="87" t="s">
        <v>310</v>
      </c>
    </row>
    <row r="261" customFormat="false" ht="15" hidden="false" customHeight="false" outlineLevel="0" collapsed="false">
      <c r="R261" s="1" t="s">
        <v>311</v>
      </c>
      <c r="V261" s="55" t="s">
        <v>312</v>
      </c>
      <c r="X261" s="57" t="n">
        <v>3</v>
      </c>
      <c r="Y261" s="28" t="n">
        <f aca="false">Z251</f>
        <v>83.856</v>
      </c>
      <c r="Z261" s="28" t="n">
        <f aca="false">X261%*Y261</f>
        <v>2.51568</v>
      </c>
    </row>
    <row r="262" customFormat="false" ht="15" hidden="false" customHeight="false" outlineLevel="0" collapsed="false">
      <c r="R262" s="1" t="s">
        <v>668</v>
      </c>
      <c r="V262" s="55" t="s">
        <v>338</v>
      </c>
      <c r="W262" s="56" t="n">
        <v>1</v>
      </c>
      <c r="X262" s="57" t="n">
        <f aca="false">W262*8/$T$245</f>
        <v>0.4</v>
      </c>
      <c r="Y262" s="28" t="n">
        <v>25.63</v>
      </c>
      <c r="Z262" s="28" t="n">
        <f aca="false">X262*Y262</f>
        <v>10.252</v>
      </c>
    </row>
    <row r="263" customFormat="false" ht="15" hidden="false" customHeight="false" outlineLevel="0" collapsed="false">
      <c r="R263" s="1" t="s">
        <v>676</v>
      </c>
      <c r="V263" s="55" t="s">
        <v>338</v>
      </c>
      <c r="W263" s="56" t="n">
        <v>0.5</v>
      </c>
      <c r="X263" s="57" t="n">
        <f aca="false">W263*8/$T$245</f>
        <v>0.2</v>
      </c>
      <c r="Y263" s="28" t="n">
        <v>7.07</v>
      </c>
      <c r="Z263" s="28" t="n">
        <f aca="false">X263*Y263</f>
        <v>1.414</v>
      </c>
    </row>
    <row r="264" customFormat="false" ht="15" hidden="false" customHeight="false" outlineLevel="0" collapsed="false">
      <c r="Q264" s="60"/>
      <c r="R264" s="60"/>
      <c r="S264" s="60"/>
      <c r="T264" s="60"/>
      <c r="U264" s="60"/>
      <c r="V264" s="60"/>
      <c r="W264" s="60"/>
      <c r="X264" s="60"/>
      <c r="Y264" s="60"/>
      <c r="Z264" s="89" t="n">
        <f aca="false">SUM(Z261:Z263)</f>
        <v>14.18168</v>
      </c>
    </row>
    <row r="265" customFormat="false" ht="15" hidden="false" customHeight="false" outlineLevel="0" collapsed="false">
      <c r="Z265" s="86"/>
    </row>
    <row r="266" customFormat="false" ht="15" hidden="false" customHeight="false" outlineLevel="0" collapsed="false">
      <c r="Q266" s="82" t="s">
        <v>278</v>
      </c>
      <c r="R266" s="82"/>
      <c r="S266" s="82" t="s">
        <v>513</v>
      </c>
      <c r="T266" s="82"/>
    </row>
    <row r="267" customFormat="false" ht="15" hidden="false" customHeight="false" outlineLevel="0" collapsed="false">
      <c r="Q267" s="82" t="s">
        <v>279</v>
      </c>
      <c r="R267" s="82" t="s">
        <v>280</v>
      </c>
      <c r="S267" s="84" t="s">
        <v>281</v>
      </c>
      <c r="T267" s="85" t="n">
        <v>20</v>
      </c>
      <c r="U267" s="84" t="s">
        <v>282</v>
      </c>
      <c r="V267" s="85" t="n">
        <f aca="false">T267</f>
        <v>20</v>
      </c>
      <c r="W267" s="82" t="s">
        <v>283</v>
      </c>
      <c r="Y267" s="84" t="s">
        <v>134</v>
      </c>
      <c r="Z267" s="86" t="n">
        <f aca="false">Z272+Z277+Z280</f>
        <v>64.02696</v>
      </c>
    </row>
    <row r="268" customFormat="false" ht="15" hidden="false" customHeight="false" outlineLevel="0" collapsed="false">
      <c r="Q268" s="82" t="s">
        <v>284</v>
      </c>
      <c r="R268" s="82" t="s">
        <v>285</v>
      </c>
      <c r="V268" s="84" t="s">
        <v>123</v>
      </c>
      <c r="W268" s="84" t="s">
        <v>286</v>
      </c>
      <c r="X268" s="84" t="s">
        <v>287</v>
      </c>
      <c r="Y268" s="84" t="s">
        <v>288</v>
      </c>
      <c r="Z268" s="84" t="s">
        <v>289</v>
      </c>
    </row>
    <row r="269" customFormat="false" ht="15" hidden="false" customHeight="false" outlineLevel="0" collapsed="false">
      <c r="R269" s="87" t="s">
        <v>290</v>
      </c>
      <c r="AC269" s="28"/>
    </row>
    <row r="270" customFormat="false" ht="15" hidden="false" customHeight="false" outlineLevel="0" collapsed="false">
      <c r="R270" s="1" t="s">
        <v>291</v>
      </c>
      <c r="V270" s="55" t="s">
        <v>292</v>
      </c>
      <c r="W270" s="56" t="n">
        <v>2</v>
      </c>
      <c r="X270" s="57" t="n">
        <f aca="false">W270*8/$T$267</f>
        <v>0.8</v>
      </c>
      <c r="Y270" s="28" t="n">
        <v>28.94</v>
      </c>
      <c r="Z270" s="28" t="n">
        <f aca="false">X270*Y270</f>
        <v>23.152</v>
      </c>
      <c r="AC270" s="28"/>
    </row>
    <row r="271" customFormat="false" ht="15" hidden="false" customHeight="false" outlineLevel="0" collapsed="false">
      <c r="R271" s="1" t="s">
        <v>293</v>
      </c>
      <c r="V271" s="55" t="s">
        <v>292</v>
      </c>
      <c r="W271" s="56" t="n">
        <v>2</v>
      </c>
      <c r="X271" s="57" t="n">
        <f aca="false">W271*8/$T$267</f>
        <v>0.8</v>
      </c>
      <c r="Y271" s="28" t="n">
        <v>23.6</v>
      </c>
      <c r="Z271" s="28" t="n">
        <f aca="false">X271*Y271</f>
        <v>18.88</v>
      </c>
    </row>
    <row r="272" customFormat="false" ht="15" hidden="false" customHeight="false" outlineLevel="0" collapsed="false">
      <c r="V272" s="55"/>
      <c r="W272" s="56"/>
      <c r="X272" s="57"/>
      <c r="Z272" s="86" t="n">
        <f aca="false">SUM(Z270:Z271)</f>
        <v>42.032</v>
      </c>
    </row>
    <row r="273" customFormat="false" ht="15" hidden="false" customHeight="false" outlineLevel="0" collapsed="false">
      <c r="R273" s="87" t="s">
        <v>654</v>
      </c>
      <c r="V273" s="55"/>
      <c r="W273" s="56"/>
      <c r="X273" s="57"/>
      <c r="Z273" s="28"/>
    </row>
    <row r="274" customFormat="false" ht="15" hidden="false" customHeight="false" outlineLevel="0" collapsed="false">
      <c r="R274" s="1" t="s">
        <v>678</v>
      </c>
      <c r="V274" s="55" t="s">
        <v>297</v>
      </c>
      <c r="X274" s="57" t="n">
        <v>0.16</v>
      </c>
      <c r="Y274" s="28" t="n">
        <v>2.64</v>
      </c>
      <c r="Z274" s="28" t="n">
        <f aca="false">X274*Y274</f>
        <v>0.4224</v>
      </c>
    </row>
    <row r="275" customFormat="false" ht="15" hidden="false" customHeight="false" outlineLevel="0" collapsed="false">
      <c r="R275" s="1" t="s">
        <v>302</v>
      </c>
      <c r="V275" s="55" t="s">
        <v>297</v>
      </c>
      <c r="X275" s="57" t="n">
        <v>0.16</v>
      </c>
      <c r="Y275" s="28" t="n">
        <v>5.51</v>
      </c>
      <c r="Z275" s="28" t="n">
        <f aca="false">X275*Y275</f>
        <v>0.8816</v>
      </c>
    </row>
    <row r="276" customFormat="false" ht="15" hidden="false" customHeight="false" outlineLevel="0" collapsed="false">
      <c r="R276" s="1" t="s">
        <v>670</v>
      </c>
      <c r="V276" s="55" t="s">
        <v>306</v>
      </c>
      <c r="X276" s="57" t="n">
        <v>3.35</v>
      </c>
      <c r="Y276" s="28" t="n">
        <v>5.8</v>
      </c>
      <c r="Z276" s="28" t="n">
        <f aca="false">X276*Y276</f>
        <v>19.43</v>
      </c>
    </row>
    <row r="277" customFormat="false" ht="15" hidden="false" customHeight="false" outlineLevel="0" collapsed="false">
      <c r="V277" s="55"/>
      <c r="X277" s="57"/>
      <c r="Y277" s="28"/>
      <c r="Z277" s="86" t="n">
        <f aca="false">SUM(Z274:Z276)</f>
        <v>20.734</v>
      </c>
    </row>
    <row r="278" customFormat="false" ht="15" hidden="false" customHeight="false" outlineLevel="0" collapsed="false">
      <c r="R278" s="87" t="s">
        <v>310</v>
      </c>
    </row>
    <row r="279" customFormat="false" ht="15" hidden="false" customHeight="false" outlineLevel="0" collapsed="false">
      <c r="R279" s="1" t="s">
        <v>311</v>
      </c>
      <c r="V279" s="55" t="s">
        <v>312</v>
      </c>
      <c r="X279" s="57" t="n">
        <v>3</v>
      </c>
      <c r="Y279" s="28" t="n">
        <f aca="false">Z272</f>
        <v>42.032</v>
      </c>
      <c r="Z279" s="28" t="n">
        <f aca="false">X279%*Y279</f>
        <v>1.26096</v>
      </c>
    </row>
    <row r="280" customFormat="false" ht="15" hidden="false" customHeight="false" outlineLevel="0" collapsed="false">
      <c r="Q280" s="60"/>
      <c r="R280" s="60"/>
      <c r="S280" s="60"/>
      <c r="T280" s="60"/>
      <c r="U280" s="60"/>
      <c r="V280" s="60"/>
      <c r="W280" s="60"/>
      <c r="X280" s="60"/>
      <c r="Y280" s="60"/>
      <c r="Z280" s="89" t="n">
        <f aca="false">SUM(Z279)</f>
        <v>1.26096</v>
      </c>
    </row>
    <row r="281" customFormat="false" ht="15" hidden="false" customHeight="false" outlineLevel="0" collapsed="false">
      <c r="Z281" s="86"/>
    </row>
    <row r="282" customFormat="false" ht="15" hidden="false" customHeight="false" outlineLevel="0" collapsed="false">
      <c r="Q282" s="82" t="s">
        <v>278</v>
      </c>
      <c r="R282" s="82"/>
      <c r="S282" s="82" t="s">
        <v>685</v>
      </c>
      <c r="T282" s="82"/>
    </row>
    <row r="283" customFormat="false" ht="15" hidden="false" customHeight="false" outlineLevel="0" collapsed="false">
      <c r="Q283" s="82" t="s">
        <v>279</v>
      </c>
      <c r="R283" s="82" t="s">
        <v>679</v>
      </c>
      <c r="S283" s="84" t="s">
        <v>281</v>
      </c>
      <c r="T283" s="85" t="n">
        <v>250</v>
      </c>
      <c r="U283" s="84" t="s">
        <v>282</v>
      </c>
      <c r="V283" s="85" t="n">
        <f aca="false">T283</f>
        <v>250</v>
      </c>
      <c r="W283" s="82" t="s">
        <v>283</v>
      </c>
      <c r="Y283" s="84" t="s">
        <v>297</v>
      </c>
      <c r="Z283" s="86" t="n">
        <f aca="false">Z289+Z293+Z297</f>
        <v>5.5639628445</v>
      </c>
    </row>
    <row r="284" customFormat="false" ht="15" hidden="false" customHeight="false" outlineLevel="0" collapsed="false">
      <c r="Q284" s="82" t="s">
        <v>284</v>
      </c>
      <c r="R284" s="82" t="s">
        <v>285</v>
      </c>
      <c r="V284" s="84" t="s">
        <v>123</v>
      </c>
      <c r="W284" s="84" t="s">
        <v>286</v>
      </c>
      <c r="X284" s="84" t="s">
        <v>287</v>
      </c>
      <c r="Y284" s="84" t="s">
        <v>288</v>
      </c>
      <c r="Z284" s="84" t="s">
        <v>289</v>
      </c>
    </row>
    <row r="285" customFormat="false" ht="15" hidden="false" customHeight="false" outlineLevel="0" collapsed="false">
      <c r="R285" s="87" t="s">
        <v>290</v>
      </c>
      <c r="W285" s="56"/>
    </row>
    <row r="286" customFormat="false" ht="15" hidden="false" customHeight="false" outlineLevel="0" collapsed="false">
      <c r="R286" s="1" t="s">
        <v>291</v>
      </c>
      <c r="V286" s="55" t="s">
        <v>292</v>
      </c>
      <c r="W286" s="56" t="n">
        <v>1</v>
      </c>
      <c r="X286" s="99" t="n">
        <f aca="false">W286*8/$T$229</f>
        <v>0.032</v>
      </c>
      <c r="Y286" s="28" t="n">
        <v>28.94</v>
      </c>
      <c r="Z286" s="28" t="n">
        <f aca="false">X286*Y286</f>
        <v>0.92608</v>
      </c>
    </row>
    <row r="287" customFormat="false" ht="15" hidden="false" customHeight="false" outlineLevel="0" collapsed="false">
      <c r="R287" s="1" t="s">
        <v>680</v>
      </c>
      <c r="V287" s="55" t="s">
        <v>292</v>
      </c>
      <c r="W287" s="56" t="n">
        <v>1</v>
      </c>
      <c r="X287" s="99" t="n">
        <f aca="false">W287*8/$T$229</f>
        <v>0.032</v>
      </c>
      <c r="Y287" s="28" t="n">
        <v>23.6</v>
      </c>
      <c r="Z287" s="28" t="n">
        <f aca="false">X287*Y287</f>
        <v>0.7552</v>
      </c>
    </row>
    <row r="288" customFormat="false" ht="15" hidden="false" customHeight="false" outlineLevel="0" collapsed="false">
      <c r="V288" s="55"/>
      <c r="W288" s="56"/>
      <c r="X288" s="99"/>
      <c r="Y288" s="28"/>
      <c r="Z288" s="28"/>
    </row>
    <row r="289" customFormat="false" ht="15" hidden="false" customHeight="false" outlineLevel="0" collapsed="false">
      <c r="V289" s="55"/>
      <c r="W289" s="56"/>
      <c r="Z289" s="86" t="n">
        <f aca="false">SUM(Z286:Z288)</f>
        <v>1.68128</v>
      </c>
    </row>
    <row r="290" customFormat="false" ht="15" hidden="false" customHeight="false" outlineLevel="0" collapsed="false">
      <c r="R290" s="87" t="s">
        <v>295</v>
      </c>
      <c r="V290" s="55"/>
      <c r="W290" s="56"/>
      <c r="X290" s="99"/>
    </row>
    <row r="291" customFormat="false" ht="15" hidden="false" customHeight="false" outlineLevel="0" collapsed="false">
      <c r="R291" s="1" t="s">
        <v>296</v>
      </c>
      <c r="V291" s="55" t="s">
        <v>297</v>
      </c>
      <c r="W291" s="56"/>
      <c r="X291" s="99" t="n">
        <v>0.03</v>
      </c>
      <c r="Y291" s="28" t="n">
        <v>2.64</v>
      </c>
      <c r="Z291" s="28" t="n">
        <f aca="false">X291*Y291</f>
        <v>0.0792</v>
      </c>
    </row>
    <row r="292" customFormat="false" ht="15" hidden="false" customHeight="false" outlineLevel="0" collapsed="false">
      <c r="R292" s="1" t="s">
        <v>681</v>
      </c>
      <c r="V292" s="55" t="s">
        <v>297</v>
      </c>
      <c r="W292" s="56"/>
      <c r="X292" s="99" t="n">
        <v>1.05</v>
      </c>
      <c r="Y292" s="28" t="n">
        <f aca="false">1012.71*3.379/1000</f>
        <v>3.42194709</v>
      </c>
      <c r="Z292" s="28" t="n">
        <f aca="false">X292*Y292</f>
        <v>3.5930444445</v>
      </c>
    </row>
    <row r="293" customFormat="false" ht="15" hidden="false" customHeight="false" outlineLevel="0" collapsed="false">
      <c r="V293" s="55"/>
      <c r="W293" s="56"/>
      <c r="Z293" s="86" t="n">
        <f aca="false">SUM(Z291:Z292)</f>
        <v>3.6722444445</v>
      </c>
    </row>
    <row r="294" customFormat="false" ht="15" hidden="false" customHeight="false" outlineLevel="0" collapsed="false">
      <c r="R294" s="87" t="s">
        <v>318</v>
      </c>
      <c r="V294" s="55"/>
      <c r="W294" s="56"/>
    </row>
    <row r="295" customFormat="false" ht="15" hidden="false" customHeight="false" outlineLevel="0" collapsed="false">
      <c r="R295" s="1" t="s">
        <v>311</v>
      </c>
      <c r="V295" s="55" t="s">
        <v>312</v>
      </c>
      <c r="X295" s="57" t="n">
        <v>3</v>
      </c>
      <c r="Y295" s="28" t="n">
        <f aca="false">Z289</f>
        <v>1.68128</v>
      </c>
      <c r="Z295" s="28" t="n">
        <f aca="false">X295%*Y295</f>
        <v>0.0504384</v>
      </c>
    </row>
    <row r="296" customFormat="false" ht="15" hidden="false" customHeight="false" outlineLevel="0" collapsed="false">
      <c r="R296" s="1" t="s">
        <v>682</v>
      </c>
      <c r="V296" s="55" t="s">
        <v>292</v>
      </c>
      <c r="W296" s="56" t="n">
        <v>1</v>
      </c>
      <c r="X296" s="57" t="n">
        <f aca="false">W296*8/$T$283</f>
        <v>0.032</v>
      </c>
      <c r="Y296" s="46" t="n">
        <v>5</v>
      </c>
      <c r="Z296" s="28" t="n">
        <f aca="false">X296*Y296</f>
        <v>0.16</v>
      </c>
    </row>
    <row r="297" customFormat="false" ht="15" hidden="false" customHeight="false" outlineLevel="0" collapsed="false">
      <c r="Q297" s="60"/>
      <c r="R297" s="60"/>
      <c r="S297" s="60"/>
      <c r="T297" s="60"/>
      <c r="U297" s="60"/>
      <c r="V297" s="60"/>
      <c r="W297" s="60"/>
      <c r="X297" s="60"/>
      <c r="Y297" s="60"/>
      <c r="Z297" s="89" t="n">
        <f aca="false">SUM(Z295:Z296)</f>
        <v>0.2104384</v>
      </c>
    </row>
    <row r="300" customFormat="false" ht="15" hidden="false" customHeight="false" outlineLevel="0" collapsed="false">
      <c r="Q300" s="82" t="s">
        <v>278</v>
      </c>
      <c r="R300" s="82"/>
      <c r="S300" s="82" t="s">
        <v>686</v>
      </c>
      <c r="T300" s="82"/>
    </row>
    <row r="301" customFormat="false" ht="15" hidden="false" customHeight="false" outlineLevel="0" collapsed="false">
      <c r="Q301" s="82" t="s">
        <v>279</v>
      </c>
      <c r="R301" s="82" t="s">
        <v>417</v>
      </c>
      <c r="S301" s="84" t="s">
        <v>281</v>
      </c>
      <c r="T301" s="85" t="n">
        <v>15</v>
      </c>
      <c r="U301" s="84" t="s">
        <v>282</v>
      </c>
      <c r="V301" s="85" t="n">
        <f aca="false">T301</f>
        <v>15</v>
      </c>
      <c r="W301" s="82" t="s">
        <v>283</v>
      </c>
      <c r="Y301" s="84" t="s">
        <v>204</v>
      </c>
      <c r="Z301" s="86" t="n">
        <f aca="false">Z307+Z314+Z319</f>
        <v>424.9218</v>
      </c>
    </row>
    <row r="302" customFormat="false" ht="15" hidden="false" customHeight="false" outlineLevel="0" collapsed="false">
      <c r="Q302" s="82" t="s">
        <v>284</v>
      </c>
      <c r="R302" s="82" t="s">
        <v>285</v>
      </c>
      <c r="V302" s="84" t="s">
        <v>123</v>
      </c>
      <c r="W302" s="84" t="s">
        <v>286</v>
      </c>
      <c r="X302" s="84" t="s">
        <v>287</v>
      </c>
      <c r="Y302" s="84" t="s">
        <v>288</v>
      </c>
      <c r="Z302" s="84" t="s">
        <v>289</v>
      </c>
    </row>
    <row r="303" customFormat="false" ht="15" hidden="false" customHeight="false" outlineLevel="0" collapsed="false">
      <c r="R303" s="87" t="s">
        <v>290</v>
      </c>
    </row>
    <row r="304" customFormat="false" ht="15" hidden="false" customHeight="false" outlineLevel="0" collapsed="false">
      <c r="R304" s="1" t="s">
        <v>291</v>
      </c>
      <c r="V304" s="55" t="s">
        <v>292</v>
      </c>
      <c r="W304" s="56" t="n">
        <v>1</v>
      </c>
      <c r="X304" s="57" t="n">
        <f aca="false">W304*8/$T$301</f>
        <v>0.533333333333333</v>
      </c>
      <c r="Y304" s="28" t="n">
        <v>28.94</v>
      </c>
      <c r="Z304" s="28" t="n">
        <f aca="false">X304*Y304</f>
        <v>15.4346666666667</v>
      </c>
    </row>
    <row r="305" customFormat="false" ht="15" hidden="false" customHeight="false" outlineLevel="0" collapsed="false">
      <c r="R305" s="1" t="s">
        <v>293</v>
      </c>
      <c r="V305" s="55" t="s">
        <v>292</v>
      </c>
      <c r="W305" s="56" t="n">
        <v>1</v>
      </c>
      <c r="X305" s="57" t="n">
        <f aca="false">W305*8/$T$301</f>
        <v>0.533333333333333</v>
      </c>
      <c r="Y305" s="28" t="n">
        <v>23.6</v>
      </c>
      <c r="Z305" s="28" t="n">
        <f aca="false">X305*Y305</f>
        <v>12.5866666666667</v>
      </c>
    </row>
    <row r="306" customFormat="false" ht="15" hidden="false" customHeight="false" outlineLevel="0" collapsed="false">
      <c r="R306" s="1" t="s">
        <v>294</v>
      </c>
      <c r="V306" s="55" t="s">
        <v>292</v>
      </c>
      <c r="W306" s="56" t="n">
        <v>7</v>
      </c>
      <c r="X306" s="57" t="n">
        <f aca="false">W306*8/$T$301</f>
        <v>3.73333333333333</v>
      </c>
      <c r="Y306" s="28" t="n">
        <v>21.36</v>
      </c>
      <c r="Z306" s="28" t="n">
        <f aca="false">X306*Y306</f>
        <v>79.744</v>
      </c>
    </row>
    <row r="307" customFormat="false" ht="15" hidden="false" customHeight="false" outlineLevel="0" collapsed="false">
      <c r="V307" s="55"/>
      <c r="W307" s="56"/>
      <c r="X307" s="57"/>
      <c r="Z307" s="86" t="n">
        <f aca="false">SUM(Z304:Z306)</f>
        <v>107.765333333333</v>
      </c>
    </row>
    <row r="308" customFormat="false" ht="15" hidden="false" customHeight="false" outlineLevel="0" collapsed="false">
      <c r="R308" s="87" t="s">
        <v>654</v>
      </c>
      <c r="V308" s="55"/>
      <c r="W308" s="56"/>
      <c r="X308" s="57"/>
      <c r="Z308" s="28"/>
    </row>
    <row r="309" customFormat="false" ht="15" hidden="false" customHeight="false" outlineLevel="0" collapsed="false">
      <c r="R309" s="1" t="s">
        <v>673</v>
      </c>
      <c r="V309" s="55" t="s">
        <v>204</v>
      </c>
      <c r="X309" s="57" t="n">
        <v>0.53</v>
      </c>
      <c r="Y309" s="28" t="n">
        <v>55.08</v>
      </c>
      <c r="Z309" s="28" t="n">
        <f aca="false">X309*Y309</f>
        <v>29.1924</v>
      </c>
    </row>
    <row r="310" customFormat="false" ht="15" hidden="false" customHeight="false" outlineLevel="0" collapsed="false">
      <c r="R310" s="1" t="s">
        <v>674</v>
      </c>
      <c r="V310" s="55" t="s">
        <v>204</v>
      </c>
      <c r="X310" s="57" t="n">
        <v>0.52</v>
      </c>
      <c r="Y310" s="28" t="n">
        <v>47</v>
      </c>
      <c r="Z310" s="28" t="n">
        <f aca="false">X310*Y310</f>
        <v>24.44</v>
      </c>
    </row>
    <row r="311" customFormat="false" ht="15" hidden="false" customHeight="false" outlineLevel="0" collapsed="false">
      <c r="R311" s="1" t="s">
        <v>307</v>
      </c>
      <c r="V311" s="55" t="s">
        <v>308</v>
      </c>
      <c r="X311" s="57" t="n">
        <v>9.73</v>
      </c>
      <c r="Y311" s="28" t="n">
        <v>24.52</v>
      </c>
      <c r="Z311" s="28" t="n">
        <f aca="false">X311*Y311</f>
        <v>238.5796</v>
      </c>
    </row>
    <row r="312" customFormat="false" ht="15" hidden="false" customHeight="false" outlineLevel="0" collapsed="false">
      <c r="R312" s="1" t="s">
        <v>656</v>
      </c>
      <c r="V312" s="55" t="s">
        <v>204</v>
      </c>
      <c r="X312" s="57" t="n">
        <v>0.186</v>
      </c>
      <c r="Y312" s="1" t="n">
        <v>6.14</v>
      </c>
      <c r="Z312" s="28" t="n">
        <f aca="false">X312*Y312</f>
        <v>1.14204</v>
      </c>
    </row>
    <row r="313" customFormat="false" ht="15" hidden="false" customHeight="false" outlineLevel="0" collapsed="false">
      <c r="R313" s="1" t="s">
        <v>666</v>
      </c>
      <c r="V313" s="55" t="s">
        <v>440</v>
      </c>
      <c r="X313" s="57" t="n">
        <v>0.36</v>
      </c>
      <c r="Y313" s="1" t="n">
        <v>13.93</v>
      </c>
      <c r="Z313" s="28" t="n">
        <f aca="false">X313*Y313</f>
        <v>5.0148</v>
      </c>
    </row>
    <row r="314" customFormat="false" ht="15" hidden="false" customHeight="false" outlineLevel="0" collapsed="false">
      <c r="V314" s="55"/>
      <c r="X314" s="57"/>
      <c r="Y314" s="28"/>
      <c r="Z314" s="86" t="n">
        <f aca="false">SUM(Z309:Z313)</f>
        <v>298.36884</v>
      </c>
    </row>
    <row r="315" customFormat="false" ht="15" hidden="false" customHeight="false" outlineLevel="0" collapsed="false">
      <c r="R315" s="87" t="s">
        <v>310</v>
      </c>
    </row>
    <row r="316" customFormat="false" ht="15" hidden="false" customHeight="false" outlineLevel="0" collapsed="false">
      <c r="R316" s="1" t="s">
        <v>311</v>
      </c>
      <c r="V316" s="55" t="s">
        <v>312</v>
      </c>
      <c r="X316" s="57" t="n">
        <v>3</v>
      </c>
      <c r="Y316" s="28" t="n">
        <f aca="false">Z307</f>
        <v>107.765333333333</v>
      </c>
      <c r="Z316" s="28" t="n">
        <f aca="false">X316%*Y316</f>
        <v>3.23296</v>
      </c>
    </row>
    <row r="317" customFormat="false" ht="15" hidden="false" customHeight="false" outlineLevel="0" collapsed="false">
      <c r="R317" s="1" t="s">
        <v>668</v>
      </c>
      <c r="V317" s="55" t="s">
        <v>338</v>
      </c>
      <c r="W317" s="56" t="n">
        <v>1</v>
      </c>
      <c r="X317" s="57" t="n">
        <f aca="false">W317*8/$T$301</f>
        <v>0.533333333333333</v>
      </c>
      <c r="Y317" s="28" t="n">
        <v>25.63</v>
      </c>
      <c r="Z317" s="28" t="n">
        <f aca="false">X317*Y317</f>
        <v>13.6693333333333</v>
      </c>
    </row>
    <row r="318" customFormat="false" ht="15" hidden="false" customHeight="false" outlineLevel="0" collapsed="false">
      <c r="R318" s="1" t="s">
        <v>676</v>
      </c>
      <c r="V318" s="55" t="s">
        <v>338</v>
      </c>
      <c r="W318" s="56" t="n">
        <v>0.5</v>
      </c>
      <c r="X318" s="57" t="n">
        <f aca="false">W318*8/$T$301</f>
        <v>0.266666666666667</v>
      </c>
      <c r="Y318" s="28" t="n">
        <v>7.07</v>
      </c>
      <c r="Z318" s="28" t="n">
        <f aca="false">X318*Y318</f>
        <v>1.88533333333333</v>
      </c>
    </row>
    <row r="319" customFormat="false" ht="15" hidden="false" customHeight="false" outlineLevel="0" collapsed="false">
      <c r="Q319" s="60"/>
      <c r="R319" s="60"/>
      <c r="S319" s="60"/>
      <c r="T319" s="60"/>
      <c r="U319" s="60"/>
      <c r="V319" s="60"/>
      <c r="W319" s="60"/>
      <c r="X319" s="60"/>
      <c r="Y319" s="60"/>
      <c r="Z319" s="89" t="n">
        <f aca="false">SUM(Z316:Z318)</f>
        <v>18.7876266666667</v>
      </c>
    </row>
    <row r="321" customFormat="false" ht="15" hidden="false" customHeight="false" outlineLevel="0" collapsed="false">
      <c r="Q321" s="82" t="s">
        <v>278</v>
      </c>
      <c r="R321" s="82"/>
      <c r="S321" s="82" t="s">
        <v>687</v>
      </c>
      <c r="T321" s="82"/>
    </row>
    <row r="322" customFormat="false" ht="15" hidden="false" customHeight="false" outlineLevel="0" collapsed="false">
      <c r="Q322" s="82" t="s">
        <v>279</v>
      </c>
      <c r="R322" s="82" t="s">
        <v>280</v>
      </c>
      <c r="S322" s="84" t="s">
        <v>281</v>
      </c>
      <c r="T322" s="85" t="n">
        <v>20</v>
      </c>
      <c r="U322" s="84" t="s">
        <v>282</v>
      </c>
      <c r="V322" s="85" t="n">
        <f aca="false">T322</f>
        <v>20</v>
      </c>
      <c r="W322" s="82" t="s">
        <v>283</v>
      </c>
      <c r="Y322" s="84" t="s">
        <v>134</v>
      </c>
      <c r="Z322" s="86" t="n">
        <f aca="false">Z327+Z332+Z335</f>
        <v>42.64448</v>
      </c>
    </row>
    <row r="323" customFormat="false" ht="15" hidden="false" customHeight="false" outlineLevel="0" collapsed="false">
      <c r="Q323" s="82" t="s">
        <v>284</v>
      </c>
      <c r="R323" s="82" t="s">
        <v>285</v>
      </c>
      <c r="V323" s="84" t="s">
        <v>123</v>
      </c>
      <c r="W323" s="84" t="s">
        <v>286</v>
      </c>
      <c r="X323" s="84" t="s">
        <v>287</v>
      </c>
      <c r="Y323" s="84" t="s">
        <v>288</v>
      </c>
      <c r="Z323" s="84" t="s">
        <v>289</v>
      </c>
    </row>
    <row r="324" customFormat="false" ht="15" hidden="false" customHeight="false" outlineLevel="0" collapsed="false">
      <c r="R324" s="87" t="s">
        <v>290</v>
      </c>
    </row>
    <row r="325" customFormat="false" ht="15" hidden="false" customHeight="false" outlineLevel="0" collapsed="false">
      <c r="R325" s="1" t="s">
        <v>291</v>
      </c>
      <c r="V325" s="55" t="s">
        <v>292</v>
      </c>
      <c r="W325" s="56" t="n">
        <v>1</v>
      </c>
      <c r="X325" s="57" t="n">
        <f aca="false">W325*8/$T$322</f>
        <v>0.4</v>
      </c>
      <c r="Y325" s="28" t="n">
        <v>28.94</v>
      </c>
      <c r="Z325" s="28" t="n">
        <f aca="false">X325*Y325</f>
        <v>11.576</v>
      </c>
    </row>
    <row r="326" customFormat="false" ht="15" hidden="false" customHeight="false" outlineLevel="0" collapsed="false">
      <c r="R326" s="1" t="s">
        <v>293</v>
      </c>
      <c r="V326" s="55" t="s">
        <v>292</v>
      </c>
      <c r="W326" s="56" t="n">
        <v>1</v>
      </c>
      <c r="X326" s="57" t="n">
        <f aca="false">W326*8/$T$322</f>
        <v>0.4</v>
      </c>
      <c r="Y326" s="28" t="n">
        <v>23.6</v>
      </c>
      <c r="Z326" s="28" t="n">
        <f aca="false">X326*Y326</f>
        <v>9.44</v>
      </c>
    </row>
    <row r="327" customFormat="false" ht="15" hidden="false" customHeight="false" outlineLevel="0" collapsed="false">
      <c r="V327" s="55"/>
      <c r="W327" s="56"/>
      <c r="X327" s="57"/>
      <c r="Z327" s="86" t="n">
        <f aca="false">SUM(Z325:Z326)</f>
        <v>21.016</v>
      </c>
    </row>
    <row r="328" customFormat="false" ht="15" hidden="false" customHeight="false" outlineLevel="0" collapsed="false">
      <c r="R328" s="87" t="s">
        <v>654</v>
      </c>
      <c r="V328" s="55"/>
      <c r="W328" s="56"/>
      <c r="X328" s="57"/>
      <c r="Z328" s="28"/>
    </row>
    <row r="329" customFormat="false" ht="15" hidden="false" customHeight="false" outlineLevel="0" collapsed="false">
      <c r="R329" s="1" t="s">
        <v>678</v>
      </c>
      <c r="V329" s="55" t="s">
        <v>297</v>
      </c>
      <c r="X329" s="57" t="n">
        <v>0.26</v>
      </c>
      <c r="Y329" s="28" t="n">
        <v>2.64</v>
      </c>
      <c r="Z329" s="28" t="n">
        <f aca="false">X329*Y329</f>
        <v>0.6864</v>
      </c>
    </row>
    <row r="330" customFormat="false" ht="15" hidden="false" customHeight="false" outlineLevel="0" collapsed="false">
      <c r="R330" s="1" t="s">
        <v>302</v>
      </c>
      <c r="V330" s="55" t="s">
        <v>297</v>
      </c>
      <c r="X330" s="57" t="n">
        <v>0.16</v>
      </c>
      <c r="Y330" s="28" t="n">
        <v>5.51</v>
      </c>
      <c r="Z330" s="28" t="n">
        <f aca="false">X330*Y330</f>
        <v>0.8816</v>
      </c>
    </row>
    <row r="331" customFormat="false" ht="15" hidden="false" customHeight="false" outlineLevel="0" collapsed="false">
      <c r="R331" s="1" t="s">
        <v>670</v>
      </c>
      <c r="V331" s="55" t="s">
        <v>306</v>
      </c>
      <c r="X331" s="57" t="n">
        <v>3.35</v>
      </c>
      <c r="Y331" s="28" t="n">
        <v>5.8</v>
      </c>
      <c r="Z331" s="28" t="n">
        <f aca="false">X331*Y331</f>
        <v>19.43</v>
      </c>
    </row>
    <row r="332" customFormat="false" ht="15" hidden="false" customHeight="false" outlineLevel="0" collapsed="false">
      <c r="V332" s="55"/>
      <c r="X332" s="57"/>
      <c r="Y332" s="28"/>
      <c r="Z332" s="86" t="n">
        <f aca="false">SUM(Z329:Z331)</f>
        <v>20.998</v>
      </c>
    </row>
    <row r="333" customFormat="false" ht="15" hidden="false" customHeight="false" outlineLevel="0" collapsed="false">
      <c r="R333" s="87" t="s">
        <v>310</v>
      </c>
    </row>
    <row r="334" customFormat="false" ht="15" hidden="false" customHeight="false" outlineLevel="0" collapsed="false">
      <c r="R334" s="1" t="s">
        <v>311</v>
      </c>
      <c r="V334" s="55" t="s">
        <v>312</v>
      </c>
      <c r="X334" s="57" t="n">
        <v>3</v>
      </c>
      <c r="Y334" s="28" t="n">
        <f aca="false">Z327</f>
        <v>21.016</v>
      </c>
      <c r="Z334" s="28" t="n">
        <f aca="false">X334%*Y334</f>
        <v>0.63048</v>
      </c>
    </row>
    <row r="335" customFormat="false" ht="15" hidden="false" customHeight="false" outlineLevel="0" collapsed="false">
      <c r="Q335" s="60"/>
      <c r="R335" s="60"/>
      <c r="S335" s="60"/>
      <c r="T335" s="60"/>
      <c r="U335" s="60"/>
      <c r="V335" s="60"/>
      <c r="W335" s="60"/>
      <c r="X335" s="60"/>
      <c r="Y335" s="60"/>
      <c r="Z335" s="89" t="n">
        <f aca="false">SUM(Z334)</f>
        <v>0.63048</v>
      </c>
    </row>
    <row r="337" customFormat="false" ht="15" hidden="false" customHeight="false" outlineLevel="0" collapsed="false">
      <c r="Q337" s="82" t="s">
        <v>278</v>
      </c>
      <c r="R337" s="82"/>
      <c r="S337" s="82" t="s">
        <v>688</v>
      </c>
      <c r="T337" s="82"/>
    </row>
    <row r="338" customFormat="false" ht="15" hidden="false" customHeight="false" outlineLevel="0" collapsed="false">
      <c r="Q338" s="82" t="s">
        <v>279</v>
      </c>
      <c r="R338" s="82" t="s">
        <v>679</v>
      </c>
      <c r="S338" s="84" t="s">
        <v>281</v>
      </c>
      <c r="T338" s="85" t="n">
        <v>250</v>
      </c>
      <c r="U338" s="84" t="s">
        <v>282</v>
      </c>
      <c r="V338" s="85" t="n">
        <f aca="false">T338</f>
        <v>250</v>
      </c>
      <c r="W338" s="82" t="s">
        <v>283</v>
      </c>
      <c r="Y338" s="84" t="s">
        <v>297</v>
      </c>
      <c r="Z338" s="86" t="n">
        <f aca="false">Z343+Z347+Z351</f>
        <v>5.5639628445</v>
      </c>
    </row>
    <row r="339" customFormat="false" ht="15" hidden="false" customHeight="false" outlineLevel="0" collapsed="false">
      <c r="Q339" s="82" t="s">
        <v>284</v>
      </c>
      <c r="R339" s="82" t="s">
        <v>285</v>
      </c>
      <c r="V339" s="84" t="s">
        <v>123</v>
      </c>
      <c r="W339" s="84" t="s">
        <v>286</v>
      </c>
      <c r="X339" s="84" t="s">
        <v>287</v>
      </c>
      <c r="Y339" s="84" t="s">
        <v>288</v>
      </c>
      <c r="Z339" s="84" t="s">
        <v>289</v>
      </c>
    </row>
    <row r="340" customFormat="false" ht="15" hidden="false" customHeight="false" outlineLevel="0" collapsed="false">
      <c r="R340" s="87" t="s">
        <v>290</v>
      </c>
      <c r="W340" s="56"/>
    </row>
    <row r="341" customFormat="false" ht="15" hidden="false" customHeight="false" outlineLevel="0" collapsed="false">
      <c r="R341" s="1" t="s">
        <v>291</v>
      </c>
      <c r="V341" s="55" t="s">
        <v>292</v>
      </c>
      <c r="W341" s="56" t="n">
        <v>1</v>
      </c>
      <c r="X341" s="57" t="n">
        <f aca="false">W341*8/$T$338</f>
        <v>0.032</v>
      </c>
      <c r="Y341" s="28" t="n">
        <v>28.94</v>
      </c>
      <c r="Z341" s="28" t="n">
        <f aca="false">X341*Y341</f>
        <v>0.92608</v>
      </c>
    </row>
    <row r="342" customFormat="false" ht="15" hidden="false" customHeight="false" outlineLevel="0" collapsed="false">
      <c r="R342" s="1" t="s">
        <v>680</v>
      </c>
      <c r="V342" s="55" t="s">
        <v>292</v>
      </c>
      <c r="W342" s="56" t="n">
        <v>1</v>
      </c>
      <c r="X342" s="57" t="n">
        <f aca="false">W342*8/$T$338</f>
        <v>0.032</v>
      </c>
      <c r="Y342" s="28" t="n">
        <v>23.6</v>
      </c>
      <c r="Z342" s="28" t="n">
        <f aca="false">X342*Y342</f>
        <v>0.7552</v>
      </c>
    </row>
    <row r="343" customFormat="false" ht="15" hidden="false" customHeight="false" outlineLevel="0" collapsed="false">
      <c r="V343" s="55"/>
      <c r="W343" s="56"/>
      <c r="Z343" s="86" t="n">
        <f aca="false">SUM(Z341:Z342)</f>
        <v>1.68128</v>
      </c>
    </row>
    <row r="344" customFormat="false" ht="15" hidden="false" customHeight="false" outlineLevel="0" collapsed="false">
      <c r="R344" s="87" t="s">
        <v>295</v>
      </c>
      <c r="V344" s="55"/>
      <c r="W344" s="56"/>
      <c r="X344" s="99"/>
    </row>
    <row r="345" customFormat="false" ht="15" hidden="false" customHeight="false" outlineLevel="0" collapsed="false">
      <c r="R345" s="1" t="s">
        <v>296</v>
      </c>
      <c r="V345" s="55" t="s">
        <v>297</v>
      </c>
      <c r="W345" s="56"/>
      <c r="X345" s="99" t="n">
        <v>0.03</v>
      </c>
      <c r="Y345" s="28" t="n">
        <v>2.64</v>
      </c>
      <c r="Z345" s="28" t="n">
        <f aca="false">X345*Y345</f>
        <v>0.0792</v>
      </c>
    </row>
    <row r="346" customFormat="false" ht="15" hidden="false" customHeight="false" outlineLevel="0" collapsed="false">
      <c r="R346" s="1" t="s">
        <v>681</v>
      </c>
      <c r="V346" s="55" t="s">
        <v>297</v>
      </c>
      <c r="W346" s="56"/>
      <c r="X346" s="99" t="n">
        <v>1.05</v>
      </c>
      <c r="Y346" s="28" t="n">
        <f aca="false">1012.71*3.379/1000</f>
        <v>3.42194709</v>
      </c>
      <c r="Z346" s="28" t="n">
        <f aca="false">X346*Y346</f>
        <v>3.5930444445</v>
      </c>
    </row>
    <row r="347" customFormat="false" ht="15" hidden="false" customHeight="false" outlineLevel="0" collapsed="false">
      <c r="V347" s="55"/>
      <c r="W347" s="56"/>
      <c r="Z347" s="86" t="n">
        <f aca="false">SUM(Z345:Z346)</f>
        <v>3.6722444445</v>
      </c>
    </row>
    <row r="348" customFormat="false" ht="15" hidden="false" customHeight="false" outlineLevel="0" collapsed="false">
      <c r="R348" s="87" t="s">
        <v>318</v>
      </c>
      <c r="V348" s="55"/>
      <c r="W348" s="56"/>
    </row>
    <row r="349" customFormat="false" ht="15" hidden="false" customHeight="false" outlineLevel="0" collapsed="false">
      <c r="R349" s="1" t="s">
        <v>311</v>
      </c>
      <c r="V349" s="55" t="s">
        <v>312</v>
      </c>
      <c r="X349" s="57" t="n">
        <v>3</v>
      </c>
      <c r="Y349" s="28" t="n">
        <f aca="false">Z343</f>
        <v>1.68128</v>
      </c>
      <c r="Z349" s="28" t="n">
        <f aca="false">X349%*Y349</f>
        <v>0.0504384</v>
      </c>
    </row>
    <row r="350" customFormat="false" ht="15" hidden="false" customHeight="false" outlineLevel="0" collapsed="false">
      <c r="R350" s="1" t="s">
        <v>682</v>
      </c>
      <c r="V350" s="55" t="s">
        <v>292</v>
      </c>
      <c r="W350" s="56" t="n">
        <v>1</v>
      </c>
      <c r="X350" s="57" t="n">
        <f aca="false">W350*8/$T$338</f>
        <v>0.032</v>
      </c>
      <c r="Y350" s="46" t="n">
        <v>5</v>
      </c>
      <c r="Z350" s="28" t="n">
        <f aca="false">X350*Y350</f>
        <v>0.16</v>
      </c>
    </row>
    <row r="351" customFormat="false" ht="15" hidden="false" customHeight="false" outlineLevel="0" collapsed="false">
      <c r="Q351" s="60"/>
      <c r="R351" s="60"/>
      <c r="S351" s="60"/>
      <c r="T351" s="60"/>
      <c r="U351" s="60"/>
      <c r="V351" s="60"/>
      <c r="W351" s="60"/>
      <c r="X351" s="60"/>
      <c r="Y351" s="60"/>
      <c r="Z351" s="89" t="n">
        <f aca="false">SUM(Z349:Z350)</f>
        <v>0.2104384</v>
      </c>
    </row>
    <row r="352" customFormat="false" ht="15" hidden="false" customHeight="false" outlineLevel="0" collapsed="false">
      <c r="Z352" s="86"/>
    </row>
    <row r="354" customFormat="false" ht="15" hidden="false" customHeight="false" outlineLevel="0" collapsed="false">
      <c r="Q354" s="82"/>
      <c r="R354" s="82"/>
      <c r="S354" s="82"/>
      <c r="T354" s="82"/>
    </row>
    <row r="355" customFormat="false" ht="15" hidden="false" customHeight="false" outlineLevel="0" collapsed="false">
      <c r="Q355" s="82"/>
      <c r="R355" s="82"/>
      <c r="S355" s="84"/>
      <c r="T355" s="85"/>
      <c r="U355" s="84"/>
      <c r="V355" s="85"/>
      <c r="W355" s="82"/>
      <c r="Y355" s="84"/>
      <c r="Z355" s="8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A351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H26" activeCellId="0" sqref="H26"/>
    </sheetView>
  </sheetViews>
  <sheetFormatPr defaultColWidth="8.59765625" defaultRowHeight="15" zeroHeight="false" outlineLevelRow="0" outlineLevelCol="0"/>
  <cols>
    <col collapsed="false" customWidth="true" hidden="false" outlineLevel="0" max="6" min="6" style="1" width="9.3"/>
    <col collapsed="false" customWidth="true" hidden="false" outlineLevel="0" max="8" min="8" style="1" width="10.43"/>
    <col collapsed="false" customWidth="true" hidden="false" outlineLevel="0" max="9" min="9" style="1" width="11.43"/>
    <col collapsed="false" customWidth="true" hidden="false" outlineLevel="0" max="10" min="10" style="1" width="14.86"/>
    <col collapsed="false" customWidth="true" hidden="false" outlineLevel="0" max="20" min="20" style="1" width="9.3"/>
    <col collapsed="false" customWidth="true" hidden="false" outlineLevel="0" max="22" min="22" style="1" width="9.3"/>
    <col collapsed="false" customWidth="true" hidden="false" outlineLevel="0" max="26" min="26" style="1" width="10.43"/>
  </cols>
  <sheetData>
    <row r="1" customFormat="false" ht="15" hidden="false" customHeight="false" outlineLevel="0" collapsed="false">
      <c r="A1" s="73"/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</row>
    <row r="2" customFormat="false" ht="15" hidden="false" customHeight="false" outlineLevel="0" collapsed="false">
      <c r="A2" s="73"/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230" t="s">
        <v>1378</v>
      </c>
      <c r="N2" s="231" t="n">
        <f aca="false">SUMIF('Datos iniciales '!D5:D8,"platea de cimentación",'Datos iniciales '!B5:B8)</f>
        <v>1</v>
      </c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</row>
    <row r="3" customFormat="false" ht="15" hidden="false" customHeight="false" outlineLevel="0" collapsed="false">
      <c r="A3" s="73"/>
      <c r="B3" s="73"/>
      <c r="C3" s="73"/>
      <c r="D3" s="73"/>
      <c r="E3" s="36" t="s">
        <v>1220</v>
      </c>
      <c r="F3" s="36" t="s">
        <v>1221</v>
      </c>
      <c r="G3" s="36" t="s">
        <v>123</v>
      </c>
      <c r="H3" s="36" t="s">
        <v>124</v>
      </c>
      <c r="I3" s="36" t="s">
        <v>125</v>
      </c>
      <c r="J3" s="36" t="s">
        <v>454</v>
      </c>
      <c r="K3" s="36" t="s">
        <v>455</v>
      </c>
      <c r="L3" s="73"/>
      <c r="M3" s="232" t="s">
        <v>672</v>
      </c>
      <c r="N3" s="233" t="s">
        <v>672</v>
      </c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</row>
    <row r="4" customFormat="false" ht="15" hidden="false" customHeight="false" outlineLevel="0" collapsed="false">
      <c r="A4" s="73"/>
      <c r="B4" s="73"/>
      <c r="C4" s="73"/>
      <c r="D4" s="73"/>
      <c r="E4" s="73"/>
      <c r="F4" s="73"/>
      <c r="G4" s="158"/>
      <c r="H4" s="71"/>
      <c r="I4" s="73"/>
      <c r="J4" s="73"/>
      <c r="K4" s="73" t="n">
        <f aca="false">SUM(J4:J37)</f>
        <v>1672.02301632422</v>
      </c>
      <c r="L4" s="73"/>
      <c r="M4" s="232" t="s">
        <v>1369</v>
      </c>
      <c r="N4" s="233" t="n">
        <f aca="false">K4/N2</f>
        <v>1672.02301632422</v>
      </c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  <c r="AA4" s="73"/>
    </row>
    <row r="5" customFormat="false" ht="15" hidden="false" customHeight="false" outlineLevel="0" collapsed="false">
      <c r="A5" s="73"/>
      <c r="B5" s="73"/>
      <c r="C5" s="73"/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73"/>
    </row>
    <row r="6" customFormat="false" ht="15" hidden="false" customHeight="false" outlineLevel="0" collapsed="false">
      <c r="A6" s="26"/>
      <c r="B6" s="26"/>
      <c r="C6" s="73"/>
      <c r="D6" s="73"/>
      <c r="E6" s="73"/>
      <c r="F6" s="73"/>
      <c r="G6" s="234"/>
      <c r="H6" s="73"/>
      <c r="I6" s="73"/>
      <c r="J6" s="73"/>
      <c r="K6" s="73"/>
      <c r="Q6" s="73"/>
      <c r="R6" s="73"/>
      <c r="S6" s="73"/>
      <c r="T6" s="73"/>
      <c r="U6" s="73"/>
      <c r="V6" s="73"/>
      <c r="W6" s="73"/>
      <c r="X6" s="73"/>
      <c r="Y6" s="234"/>
      <c r="Z6" s="235"/>
      <c r="AA6" s="73"/>
    </row>
    <row r="7" customFormat="false" ht="15" hidden="false" customHeight="false" outlineLevel="0" collapsed="false">
      <c r="A7" s="73"/>
      <c r="B7" s="73"/>
      <c r="C7" s="73"/>
      <c r="D7" s="73"/>
      <c r="E7" s="73"/>
      <c r="F7" s="219"/>
      <c r="G7" s="73"/>
      <c r="H7" s="219"/>
      <c r="I7" s="219"/>
      <c r="J7" s="219"/>
      <c r="K7" s="73"/>
      <c r="Q7" s="73"/>
      <c r="R7" s="73"/>
      <c r="S7" s="73"/>
      <c r="T7" s="73"/>
      <c r="U7" s="73"/>
      <c r="V7" s="73"/>
      <c r="W7" s="73"/>
      <c r="X7" s="73"/>
      <c r="Y7" s="73"/>
      <c r="Z7" s="73"/>
      <c r="AA7" s="73"/>
    </row>
    <row r="8" customFormat="false" ht="15" hidden="false" customHeight="false" outlineLevel="0" collapsed="false">
      <c r="A8" s="26" t="s">
        <v>457</v>
      </c>
      <c r="B8" s="26"/>
      <c r="C8" s="73"/>
      <c r="D8" s="73"/>
      <c r="E8" s="73"/>
      <c r="F8" s="219"/>
      <c r="G8" s="73"/>
      <c r="H8" s="219"/>
      <c r="I8" s="73"/>
      <c r="J8" s="219"/>
      <c r="K8" s="73"/>
      <c r="L8" s="73"/>
      <c r="M8" s="73"/>
      <c r="Q8" s="234" t="s">
        <v>278</v>
      </c>
      <c r="R8" s="234"/>
      <c r="S8" s="234" t="s">
        <v>459</v>
      </c>
      <c r="T8" s="234"/>
      <c r="U8" s="234"/>
      <c r="V8" s="234"/>
      <c r="W8" s="73"/>
      <c r="X8" s="73"/>
      <c r="Y8" s="73"/>
      <c r="Z8" s="73"/>
      <c r="AA8" s="73"/>
    </row>
    <row r="9" customFormat="false" ht="15" hidden="false" customHeight="false" outlineLevel="0" collapsed="false">
      <c r="A9" s="70" t="s">
        <v>459</v>
      </c>
      <c r="B9" s="73"/>
      <c r="C9" s="73"/>
      <c r="D9" s="73"/>
      <c r="E9" s="73"/>
      <c r="F9" s="219" t="n">
        <v>3.4</v>
      </c>
      <c r="G9" s="73" t="s">
        <v>204</v>
      </c>
      <c r="H9" s="219" t="n">
        <f aca="false">F9*$N$2</f>
        <v>3.4</v>
      </c>
      <c r="I9" s="219" t="n">
        <f aca="false">Z9</f>
        <v>8.45820448</v>
      </c>
      <c r="J9" s="219" t="n">
        <f aca="false">H9*I9</f>
        <v>28.757895232</v>
      </c>
      <c r="L9" s="73"/>
      <c r="M9" s="73"/>
      <c r="N9" s="73"/>
      <c r="O9" s="73"/>
      <c r="P9" s="73"/>
      <c r="Q9" s="234" t="s">
        <v>279</v>
      </c>
      <c r="R9" s="234" t="s">
        <v>417</v>
      </c>
      <c r="S9" s="234" t="s">
        <v>281</v>
      </c>
      <c r="T9" s="236" t="n">
        <v>250</v>
      </c>
      <c r="U9" s="236" t="s">
        <v>282</v>
      </c>
      <c r="V9" s="236" t="n">
        <f aca="false">T9</f>
        <v>250</v>
      </c>
      <c r="W9" s="234" t="s">
        <v>283</v>
      </c>
      <c r="X9" s="234"/>
      <c r="Y9" s="234" t="s">
        <v>204</v>
      </c>
      <c r="Z9" s="235" t="n">
        <f aca="false">Z15+Z19</f>
        <v>8.45820448</v>
      </c>
      <c r="AA9" s="73"/>
    </row>
    <row r="10" customFormat="false" ht="15" hidden="false" customHeight="false" outlineLevel="0" collapsed="false">
      <c r="A10" s="70" t="s">
        <v>461</v>
      </c>
      <c r="B10" s="73"/>
      <c r="C10" s="73"/>
      <c r="D10" s="73"/>
      <c r="E10" s="73"/>
      <c r="F10" s="219" t="n">
        <v>0.03</v>
      </c>
      <c r="G10" s="73" t="s">
        <v>204</v>
      </c>
      <c r="H10" s="219" t="n">
        <f aca="false">F10*$N$2</f>
        <v>0.03</v>
      </c>
      <c r="I10" s="219" t="n">
        <f aca="false">Z25</f>
        <v>49.40498</v>
      </c>
      <c r="J10" s="219" t="n">
        <f aca="false">H10*I10</f>
        <v>1.4821494</v>
      </c>
      <c r="K10" s="73"/>
      <c r="L10" s="73"/>
      <c r="M10" s="73"/>
      <c r="N10" s="73"/>
      <c r="O10" s="73"/>
      <c r="P10" s="73"/>
      <c r="Q10" s="234" t="s">
        <v>284</v>
      </c>
      <c r="R10" s="234" t="s">
        <v>285</v>
      </c>
      <c r="S10" s="234"/>
      <c r="T10" s="73"/>
      <c r="U10" s="73"/>
      <c r="V10" s="234" t="s">
        <v>123</v>
      </c>
      <c r="W10" s="234" t="s">
        <v>286</v>
      </c>
      <c r="X10" s="234" t="s">
        <v>287</v>
      </c>
      <c r="Y10" s="234" t="s">
        <v>288</v>
      </c>
      <c r="Z10" s="234" t="s">
        <v>289</v>
      </c>
      <c r="AA10" s="73"/>
    </row>
    <row r="11" customFormat="false" ht="15" hidden="false" customHeight="false" outlineLevel="0" collapsed="false">
      <c r="A11" s="70" t="s">
        <v>463</v>
      </c>
      <c r="B11" s="73"/>
      <c r="C11" s="73"/>
      <c r="D11" s="73"/>
      <c r="E11" s="73"/>
      <c r="F11" s="219" t="n">
        <v>0.15</v>
      </c>
      <c r="G11" s="73" t="s">
        <v>204</v>
      </c>
      <c r="H11" s="219" t="n">
        <f aca="false">F11*$N$2</f>
        <v>0.15</v>
      </c>
      <c r="I11" s="73" t="n">
        <f aca="false">Z36</f>
        <v>66.2342173333333</v>
      </c>
      <c r="J11" s="219" t="n">
        <f aca="false">H11*I11</f>
        <v>9.9351326</v>
      </c>
      <c r="K11" s="73"/>
      <c r="L11" s="73"/>
      <c r="M11" s="73"/>
      <c r="N11" s="73"/>
      <c r="O11" s="73"/>
      <c r="P11" s="73"/>
      <c r="Q11" s="73"/>
      <c r="R11" s="237" t="s">
        <v>290</v>
      </c>
      <c r="S11" s="73"/>
      <c r="T11" s="73"/>
      <c r="U11" s="73"/>
      <c r="V11" s="73"/>
      <c r="W11" s="73"/>
      <c r="X11" s="73"/>
      <c r="Y11" s="73"/>
      <c r="Z11" s="73"/>
      <c r="AA11" s="73"/>
    </row>
    <row r="12" customFormat="false" ht="15" hidden="false" customHeight="false" outlineLevel="0" collapsed="false">
      <c r="A12" s="70" t="s">
        <v>465</v>
      </c>
      <c r="B12" s="73"/>
      <c r="C12" s="73"/>
      <c r="D12" s="73"/>
      <c r="E12" s="73"/>
      <c r="F12" s="219" t="n">
        <v>2.8</v>
      </c>
      <c r="G12" s="73" t="s">
        <v>204</v>
      </c>
      <c r="H12" s="219" t="n">
        <f aca="false">F12*$N$2</f>
        <v>2.8</v>
      </c>
      <c r="I12" s="73" t="n">
        <f aca="false">Z53</f>
        <v>19.79083</v>
      </c>
      <c r="J12" s="219" t="n">
        <f aca="false">H12*I12</f>
        <v>55.414324</v>
      </c>
      <c r="K12" s="158"/>
      <c r="L12" s="73"/>
      <c r="M12" s="73"/>
      <c r="N12" s="73"/>
      <c r="O12" s="73"/>
      <c r="P12" s="73"/>
      <c r="Q12" s="73"/>
      <c r="R12" s="73" t="s">
        <v>651</v>
      </c>
      <c r="S12" s="73"/>
      <c r="T12" s="73"/>
      <c r="U12" s="73"/>
      <c r="V12" s="73" t="s">
        <v>292</v>
      </c>
      <c r="W12" s="238" t="n">
        <v>0.1</v>
      </c>
      <c r="X12" s="239" t="n">
        <f aca="false">W12*8/$T$9</f>
        <v>0.0032</v>
      </c>
      <c r="Y12" s="73" t="n">
        <v>34.73</v>
      </c>
      <c r="Z12" s="219" t="n">
        <f aca="false">X12*Y12</f>
        <v>0.111136</v>
      </c>
      <c r="AA12" s="73"/>
    </row>
    <row r="13" customFormat="false" ht="15" hidden="false" customHeight="false" outlineLevel="0" collapsed="false">
      <c r="A13" s="70" t="s">
        <v>1379</v>
      </c>
      <c r="B13" s="73"/>
      <c r="C13" s="73"/>
      <c r="D13" s="73"/>
      <c r="E13" s="73"/>
      <c r="F13" s="219" t="n">
        <v>1</v>
      </c>
      <c r="G13" s="73" t="s">
        <v>134</v>
      </c>
      <c r="H13" s="219" t="n">
        <f aca="false">F13*$N$2</f>
        <v>1</v>
      </c>
      <c r="I13" s="73" t="n">
        <f aca="false">Z70</f>
        <v>7.998448</v>
      </c>
      <c r="J13" s="219" t="n">
        <f aca="false">H13*I13</f>
        <v>7.998448</v>
      </c>
      <c r="K13" s="73"/>
      <c r="L13" s="73"/>
      <c r="M13" s="73"/>
      <c r="N13" s="73"/>
      <c r="O13" s="73"/>
      <c r="P13" s="73"/>
      <c r="Q13" s="73"/>
      <c r="R13" s="73" t="s">
        <v>291</v>
      </c>
      <c r="S13" s="73"/>
      <c r="T13" s="73"/>
      <c r="U13" s="73"/>
      <c r="V13" s="73" t="s">
        <v>292</v>
      </c>
      <c r="W13" s="238" t="n">
        <v>2</v>
      </c>
      <c r="X13" s="239" t="n">
        <f aca="false">W13*8/$T$9</f>
        <v>0.064</v>
      </c>
      <c r="Y13" s="73" t="n">
        <v>28.94</v>
      </c>
      <c r="Z13" s="219" t="n">
        <f aca="false">X13*Y13</f>
        <v>1.85216</v>
      </c>
      <c r="AA13" s="73"/>
    </row>
    <row r="14" customFormat="false" ht="15" hidden="false" customHeight="false" outlineLevel="0" collapsed="false">
      <c r="A14" s="70" t="s">
        <v>469</v>
      </c>
      <c r="B14" s="73"/>
      <c r="C14" s="73"/>
      <c r="D14" s="73"/>
      <c r="E14" s="73"/>
      <c r="F14" s="219" t="n">
        <v>0.6</v>
      </c>
      <c r="G14" s="73" t="s">
        <v>134</v>
      </c>
      <c r="H14" s="219" t="n">
        <f aca="false">F14*$N$2</f>
        <v>0.6</v>
      </c>
      <c r="I14" s="73" t="n">
        <f aca="false">Z85</f>
        <v>12.11253</v>
      </c>
      <c r="J14" s="219" t="n">
        <f aca="false">H14*I14</f>
        <v>7.267518</v>
      </c>
      <c r="K14" s="158"/>
      <c r="L14" s="73"/>
      <c r="M14" s="73"/>
      <c r="N14" s="73"/>
      <c r="O14" s="73"/>
      <c r="P14" s="73"/>
      <c r="Q14" s="73"/>
      <c r="R14" s="73" t="s">
        <v>294</v>
      </c>
      <c r="S14" s="73"/>
      <c r="T14" s="73"/>
      <c r="U14" s="73"/>
      <c r="V14" s="73" t="s">
        <v>292</v>
      </c>
      <c r="W14" s="238" t="n">
        <v>1</v>
      </c>
      <c r="X14" s="239" t="n">
        <f aca="false">W14*8/$T$9</f>
        <v>0.032</v>
      </c>
      <c r="Y14" s="73" t="n">
        <v>20.51</v>
      </c>
      <c r="Z14" s="219" t="n">
        <f aca="false">X14*Y14</f>
        <v>0.65632</v>
      </c>
      <c r="AA14" s="73"/>
    </row>
    <row r="15" customFormat="false" ht="15" hidden="false" customHeight="false" outlineLevel="0" collapsed="false">
      <c r="A15" s="70" t="s">
        <v>471</v>
      </c>
      <c r="B15" s="73"/>
      <c r="C15" s="73"/>
      <c r="D15" s="73"/>
      <c r="E15" s="73"/>
      <c r="F15" s="219" t="n">
        <v>0.6</v>
      </c>
      <c r="G15" s="73" t="s">
        <v>204</v>
      </c>
      <c r="H15" s="219" t="n">
        <f aca="false">F15*$N$2</f>
        <v>0.6</v>
      </c>
      <c r="I15" s="73" t="n">
        <f aca="false">Z96</f>
        <v>22.9100074666667</v>
      </c>
      <c r="J15" s="219" t="n">
        <f aca="false">H15*I15</f>
        <v>13.74600448</v>
      </c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238"/>
      <c r="X15" s="73"/>
      <c r="Y15" s="73"/>
      <c r="Z15" s="235" t="n">
        <f aca="false">SUM(Z12:Z14)</f>
        <v>2.619616</v>
      </c>
      <c r="AA15" s="73"/>
    </row>
    <row r="16" customFormat="false" ht="15" hidden="false" customHeight="false" outlineLevel="0" collapsed="false">
      <c r="A16" s="26" t="s">
        <v>476</v>
      </c>
      <c r="B16" s="26"/>
      <c r="C16" s="73"/>
      <c r="D16" s="73"/>
      <c r="E16" s="73"/>
      <c r="F16" s="219"/>
      <c r="G16" s="73"/>
      <c r="H16" s="219"/>
      <c r="I16" s="73"/>
      <c r="J16" s="219"/>
      <c r="K16" s="73"/>
      <c r="L16" s="73"/>
      <c r="M16" s="73"/>
      <c r="N16" s="73"/>
      <c r="O16" s="73"/>
      <c r="P16" s="73"/>
      <c r="Q16" s="73"/>
      <c r="R16" s="237" t="s">
        <v>310</v>
      </c>
      <c r="S16" s="73"/>
      <c r="T16" s="73"/>
      <c r="U16" s="73"/>
      <c r="V16" s="73"/>
      <c r="W16" s="238"/>
      <c r="X16" s="73"/>
      <c r="Y16" s="73"/>
      <c r="Z16" s="73"/>
      <c r="AA16" s="73"/>
    </row>
    <row r="17" customFormat="false" ht="15" hidden="false" customHeight="false" outlineLevel="0" collapsed="false">
      <c r="A17" s="70" t="s">
        <v>1381</v>
      </c>
      <c r="B17" s="73"/>
      <c r="C17" s="73"/>
      <c r="D17" s="73"/>
      <c r="E17" s="73"/>
      <c r="F17" s="219" t="n">
        <v>1</v>
      </c>
      <c r="G17" s="73"/>
      <c r="H17" s="219" t="n">
        <f aca="false">F17*$N$2</f>
        <v>1</v>
      </c>
      <c r="I17" s="73" t="n">
        <f aca="false">Z109</f>
        <v>238.3435744</v>
      </c>
      <c r="J17" s="219" t="n">
        <f aca="false">H17*I17</f>
        <v>238.3435744</v>
      </c>
      <c r="K17" s="73"/>
      <c r="L17" s="73"/>
      <c r="M17" s="73"/>
      <c r="N17" s="73"/>
      <c r="O17" s="73"/>
      <c r="P17" s="73"/>
      <c r="Q17" s="73"/>
      <c r="R17" s="73" t="s">
        <v>311</v>
      </c>
      <c r="S17" s="73"/>
      <c r="T17" s="73"/>
      <c r="U17" s="73"/>
      <c r="V17" s="73" t="s">
        <v>312</v>
      </c>
      <c r="W17" s="238"/>
      <c r="X17" s="239" t="n">
        <v>3</v>
      </c>
      <c r="Y17" s="219" t="n">
        <f aca="false">Z15</f>
        <v>2.619616</v>
      </c>
      <c r="Z17" s="219" t="n">
        <f aca="false">X17%*Y17</f>
        <v>0.07858848</v>
      </c>
      <c r="AA17" s="73"/>
    </row>
    <row r="18" customFormat="false" ht="15" hidden="false" customHeight="false" outlineLevel="0" collapsed="false">
      <c r="A18" s="72" t="s">
        <v>486</v>
      </c>
      <c r="B18" s="72"/>
      <c r="C18" s="73"/>
      <c r="D18" s="73"/>
      <c r="E18" s="73"/>
      <c r="F18" s="219"/>
      <c r="G18" s="73"/>
      <c r="H18" s="219"/>
      <c r="I18" s="73"/>
      <c r="J18" s="219"/>
      <c r="K18" s="73"/>
      <c r="L18" s="72"/>
      <c r="M18" s="73"/>
      <c r="N18" s="73"/>
      <c r="O18" s="73"/>
      <c r="P18" s="73"/>
      <c r="Q18" s="73"/>
      <c r="R18" s="73" t="s">
        <v>652</v>
      </c>
      <c r="S18" s="73"/>
      <c r="T18" s="73"/>
      <c r="U18" s="73"/>
      <c r="V18" s="73" t="s">
        <v>338</v>
      </c>
      <c r="W18" s="238" t="n">
        <v>1</v>
      </c>
      <c r="X18" s="239" t="n">
        <f aca="false">W18*8/$T$9</f>
        <v>0.032</v>
      </c>
      <c r="Y18" s="219" t="n">
        <v>180</v>
      </c>
      <c r="Z18" s="219" t="n">
        <f aca="false">X18*Y18</f>
        <v>5.76</v>
      </c>
      <c r="AA18" s="73"/>
    </row>
    <row r="19" customFormat="false" ht="15" hidden="false" customHeight="false" outlineLevel="0" collapsed="false">
      <c r="A19" s="75" t="s">
        <v>488</v>
      </c>
      <c r="B19" s="70"/>
      <c r="C19" s="70"/>
      <c r="D19" s="75" t="s">
        <v>672</v>
      </c>
      <c r="E19" s="75"/>
      <c r="F19" s="219" t="n">
        <v>1</v>
      </c>
      <c r="G19" s="73" t="s">
        <v>134</v>
      </c>
      <c r="H19" s="219" t="n">
        <f aca="false">F19*$N$2</f>
        <v>1</v>
      </c>
      <c r="I19" s="73" t="n">
        <f aca="false">Z135</f>
        <v>39.6208818181818</v>
      </c>
      <c r="J19" s="219" t="n">
        <f aca="false">H19*I19</f>
        <v>39.6208818181818</v>
      </c>
      <c r="K19" s="73"/>
      <c r="L19" s="70"/>
      <c r="M19" s="73"/>
      <c r="N19" s="73"/>
      <c r="O19" s="73"/>
      <c r="P19" s="73"/>
      <c r="Q19" s="240" t="s">
        <v>672</v>
      </c>
      <c r="R19" s="240" t="s">
        <v>672</v>
      </c>
      <c r="S19" s="240" t="s">
        <v>672</v>
      </c>
      <c r="T19" s="240" t="s">
        <v>672</v>
      </c>
      <c r="U19" s="240" t="s">
        <v>672</v>
      </c>
      <c r="V19" s="240" t="s">
        <v>672</v>
      </c>
      <c r="W19" s="240" t="s">
        <v>672</v>
      </c>
      <c r="X19" s="240" t="s">
        <v>672</v>
      </c>
      <c r="Y19" s="240" t="s">
        <v>672</v>
      </c>
      <c r="Z19" s="241" t="n">
        <f aca="false">SUM(Z17:Z18)</f>
        <v>5.83858848</v>
      </c>
      <c r="AA19" s="73"/>
    </row>
    <row r="20" customFormat="false" ht="15" hidden="false" customHeight="false" outlineLevel="0" collapsed="false">
      <c r="A20" s="72" t="s">
        <v>490</v>
      </c>
      <c r="B20" s="73"/>
      <c r="C20" s="73"/>
      <c r="D20" s="73"/>
      <c r="E20" s="73"/>
      <c r="F20" s="219"/>
      <c r="G20" s="73"/>
      <c r="H20" s="219"/>
      <c r="I20" s="73"/>
      <c r="J20" s="219"/>
      <c r="K20" s="158"/>
      <c r="L20" s="72"/>
      <c r="M20" s="73"/>
      <c r="N20" s="73"/>
      <c r="O20" s="73" t="s">
        <v>672</v>
      </c>
      <c r="P20" s="73" t="s">
        <v>672</v>
      </c>
      <c r="Q20" s="73"/>
      <c r="R20" s="237"/>
      <c r="S20" s="73"/>
      <c r="T20" s="73"/>
      <c r="U20" s="73"/>
      <c r="V20" s="73"/>
      <c r="W20" s="73"/>
      <c r="X20" s="73"/>
      <c r="Y20" s="73"/>
      <c r="Z20" s="73"/>
      <c r="AA20" s="73"/>
    </row>
    <row r="21" customFormat="false" ht="15" hidden="false" customHeight="false" outlineLevel="0" collapsed="false">
      <c r="A21" s="242" t="s">
        <v>1382</v>
      </c>
      <c r="B21" s="73"/>
      <c r="C21" s="73"/>
      <c r="D21" s="73"/>
      <c r="E21" s="73"/>
      <c r="F21" s="219" t="n">
        <v>1</v>
      </c>
      <c r="G21" s="73" t="s">
        <v>134</v>
      </c>
      <c r="H21" s="219" t="n">
        <f aca="false">F21*$N$2</f>
        <v>1</v>
      </c>
      <c r="I21" s="73" t="n">
        <f aca="false">Z154</f>
        <v>27.126394</v>
      </c>
      <c r="J21" s="219" t="n">
        <f aca="false">H21*I21</f>
        <v>27.126394</v>
      </c>
      <c r="K21" s="158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  <c r="AA21" s="73"/>
    </row>
    <row r="22" customFormat="false" ht="15" hidden="false" customHeight="false" outlineLevel="0" collapsed="false">
      <c r="A22" s="72" t="s">
        <v>1373</v>
      </c>
      <c r="B22" s="72"/>
      <c r="C22" s="72"/>
      <c r="D22" s="73"/>
      <c r="E22" s="73"/>
      <c r="F22" s="219"/>
      <c r="G22" s="73"/>
      <c r="H22" s="219"/>
      <c r="I22" s="73"/>
      <c r="J22" s="219"/>
      <c r="K22" s="158"/>
      <c r="L22" s="72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234"/>
      <c r="Z22" s="234"/>
      <c r="AA22" s="73"/>
    </row>
    <row r="23" customFormat="false" ht="15" hidden="false" customHeight="false" outlineLevel="0" collapsed="false">
      <c r="A23" s="72" t="s">
        <v>1383</v>
      </c>
      <c r="B23" s="73"/>
      <c r="C23" s="73"/>
      <c r="D23" s="73"/>
      <c r="E23" s="73"/>
      <c r="F23" s="219"/>
      <c r="G23" s="73"/>
      <c r="H23" s="219"/>
      <c r="I23" s="73"/>
      <c r="J23" s="219"/>
      <c r="K23" s="73"/>
      <c r="L23" s="72"/>
      <c r="M23" s="72"/>
      <c r="N23" s="72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</row>
    <row r="24" customFormat="false" ht="15" hidden="false" customHeight="false" outlineLevel="0" collapsed="false">
      <c r="A24" s="73" t="s">
        <v>1384</v>
      </c>
      <c r="B24" s="73"/>
      <c r="C24" s="73"/>
      <c r="D24" s="73"/>
      <c r="E24" s="73"/>
      <c r="F24" s="219" t="n">
        <v>0.6</v>
      </c>
      <c r="G24" s="73" t="s">
        <v>204</v>
      </c>
      <c r="H24" s="219" t="n">
        <f aca="false">F24*$N$2</f>
        <v>0.6</v>
      </c>
      <c r="I24" s="73" t="n">
        <f aca="false">Z173</f>
        <v>426.397544</v>
      </c>
      <c r="J24" s="219" t="n">
        <f aca="false">H24*I24</f>
        <v>255.8385264</v>
      </c>
      <c r="K24" s="73"/>
      <c r="L24" s="73"/>
      <c r="M24" s="72"/>
      <c r="N24" s="72"/>
      <c r="O24" s="73"/>
      <c r="P24" s="73"/>
      <c r="Q24" s="234" t="s">
        <v>278</v>
      </c>
      <c r="R24" s="234"/>
      <c r="S24" s="234" t="s">
        <v>461</v>
      </c>
      <c r="T24" s="234"/>
      <c r="U24" s="73"/>
      <c r="V24" s="73"/>
      <c r="W24" s="73"/>
      <c r="X24" s="73"/>
      <c r="Y24" s="73"/>
      <c r="Z24" s="73"/>
      <c r="AA24" s="73"/>
    </row>
    <row r="25" customFormat="false" ht="15" hidden="false" customHeight="false" outlineLevel="0" collapsed="false">
      <c r="A25" s="73" t="s">
        <v>1385</v>
      </c>
      <c r="B25" s="73"/>
      <c r="C25" s="73"/>
      <c r="D25" s="73"/>
      <c r="E25" s="73"/>
      <c r="F25" s="219" t="n">
        <v>0.5</v>
      </c>
      <c r="G25" s="73" t="s">
        <v>134</v>
      </c>
      <c r="H25" s="219" t="n">
        <f aca="false">F25*$N$2</f>
        <v>0.5</v>
      </c>
      <c r="I25" s="73" t="n">
        <f aca="false">Z195</f>
        <v>75.1142</v>
      </c>
      <c r="J25" s="219" t="n">
        <f aca="false">H25*I25</f>
        <v>37.5571</v>
      </c>
      <c r="K25" s="73"/>
      <c r="L25" s="73"/>
      <c r="M25" s="73"/>
      <c r="N25" s="73"/>
      <c r="O25" s="73"/>
      <c r="P25" s="73"/>
      <c r="Q25" s="234" t="s">
        <v>279</v>
      </c>
      <c r="R25" s="234" t="s">
        <v>417</v>
      </c>
      <c r="S25" s="234" t="s">
        <v>281</v>
      </c>
      <c r="T25" s="236" t="n">
        <v>4</v>
      </c>
      <c r="U25" s="236" t="s">
        <v>282</v>
      </c>
      <c r="V25" s="236" t="n">
        <f aca="false">T25</f>
        <v>4</v>
      </c>
      <c r="W25" s="234" t="s">
        <v>283</v>
      </c>
      <c r="X25" s="234"/>
      <c r="Y25" s="234" t="s">
        <v>204</v>
      </c>
      <c r="Z25" s="235" t="n">
        <f aca="false">Z30+Z33</f>
        <v>49.40498</v>
      </c>
      <c r="AA25" s="73"/>
    </row>
    <row r="26" customFormat="false" ht="16.4" hidden="false" customHeight="false" outlineLevel="0" collapsed="false">
      <c r="A26" s="73" t="s">
        <v>1386</v>
      </c>
      <c r="B26" s="73"/>
      <c r="C26" s="73"/>
      <c r="D26" s="73"/>
      <c r="E26" s="73"/>
      <c r="F26" s="219"/>
      <c r="G26" s="158" t="s">
        <v>297</v>
      </c>
      <c r="H26" s="208" t="n">
        <f aca="false">H24*240</f>
        <v>144</v>
      </c>
      <c r="I26" s="73" t="n">
        <f aca="false">Z212</f>
        <v>5.5639628445</v>
      </c>
      <c r="J26" s="219" t="n">
        <f aca="false">H26*I26</f>
        <v>801.210649608</v>
      </c>
      <c r="K26" s="158"/>
      <c r="L26" s="73"/>
      <c r="M26" s="73"/>
      <c r="N26" s="73"/>
      <c r="O26" s="73"/>
      <c r="P26" s="73"/>
      <c r="Q26" s="234" t="s">
        <v>284</v>
      </c>
      <c r="R26" s="234" t="s">
        <v>285</v>
      </c>
      <c r="S26" s="234"/>
      <c r="T26" s="73"/>
      <c r="U26" s="73"/>
      <c r="V26" s="234" t="s">
        <v>123</v>
      </c>
      <c r="W26" s="234" t="s">
        <v>286</v>
      </c>
      <c r="X26" s="234" t="s">
        <v>287</v>
      </c>
      <c r="Y26" s="234" t="s">
        <v>288</v>
      </c>
      <c r="Z26" s="234" t="s">
        <v>289</v>
      </c>
      <c r="AA26" s="73"/>
    </row>
    <row r="27" customFormat="false" ht="15" hidden="false" customHeight="false" outlineLevel="0" collapsed="false">
      <c r="A27" s="226" t="s">
        <v>509</v>
      </c>
      <c r="B27" s="73"/>
      <c r="C27" s="73"/>
      <c r="D27" s="73"/>
      <c r="E27" s="73"/>
      <c r="F27" s="219"/>
      <c r="G27" s="158"/>
      <c r="H27" s="219"/>
      <c r="I27" s="73"/>
      <c r="J27" s="219"/>
      <c r="K27" s="73"/>
      <c r="L27" s="226"/>
      <c r="M27" s="73"/>
      <c r="N27" s="73"/>
      <c r="O27" s="73"/>
      <c r="P27" s="73"/>
      <c r="Q27" s="73"/>
      <c r="R27" s="237" t="s">
        <v>290</v>
      </c>
      <c r="S27" s="73"/>
      <c r="T27" s="73"/>
      <c r="U27" s="73"/>
      <c r="V27" s="73"/>
      <c r="W27" s="73"/>
      <c r="X27" s="73"/>
      <c r="Y27" s="73"/>
      <c r="Z27" s="73"/>
      <c r="AA27" s="73"/>
    </row>
    <row r="28" customFormat="false" ht="16.4" hidden="false" customHeight="false" outlineLevel="0" collapsed="false">
      <c r="A28" s="73" t="s">
        <v>511</v>
      </c>
      <c r="B28" s="73"/>
      <c r="C28" s="73"/>
      <c r="D28" s="73"/>
      <c r="E28" s="73"/>
      <c r="F28" s="219" t="n">
        <v>0.1202</v>
      </c>
      <c r="G28" s="158" t="s">
        <v>204</v>
      </c>
      <c r="H28" s="219" t="n">
        <f aca="false">F28*$N$2</f>
        <v>0.1202</v>
      </c>
      <c r="I28" s="73" t="n">
        <f aca="false">Z228</f>
        <v>438.22652</v>
      </c>
      <c r="J28" s="219" t="n">
        <f aca="false">H28*I28</f>
        <v>52.674827704</v>
      </c>
      <c r="K28" s="73"/>
      <c r="L28" s="73"/>
      <c r="M28" s="73"/>
      <c r="N28" s="73"/>
      <c r="O28" s="73"/>
      <c r="P28" s="73"/>
      <c r="Q28" s="73"/>
      <c r="R28" s="73" t="s">
        <v>651</v>
      </c>
      <c r="S28" s="73"/>
      <c r="T28" s="73"/>
      <c r="U28" s="73"/>
      <c r="V28" s="73" t="s">
        <v>292</v>
      </c>
      <c r="W28" s="238" t="n">
        <v>0.1</v>
      </c>
      <c r="X28" s="239" t="n">
        <f aca="false">W28*8/$T$25</f>
        <v>0.2</v>
      </c>
      <c r="Y28" s="219" t="n">
        <v>34.73</v>
      </c>
      <c r="Z28" s="219" t="n">
        <f aca="false">X28*Y28</f>
        <v>6.946</v>
      </c>
      <c r="AA28" s="73"/>
    </row>
    <row r="29" customFormat="false" ht="16.4" hidden="false" customHeight="false" outlineLevel="0" collapsed="false">
      <c r="A29" s="73" t="s">
        <v>513</v>
      </c>
      <c r="B29" s="73"/>
      <c r="C29" s="73"/>
      <c r="D29" s="73"/>
      <c r="E29" s="73"/>
      <c r="F29" s="219" t="n">
        <v>0.6491</v>
      </c>
      <c r="G29" s="158" t="s">
        <v>134</v>
      </c>
      <c r="H29" s="219" t="n">
        <f aca="false">F29*$N$2</f>
        <v>0.6491</v>
      </c>
      <c r="I29" s="73" t="n">
        <f aca="false">Z250</f>
        <v>64.02696</v>
      </c>
      <c r="J29" s="219" t="n">
        <f aca="false">H29*I29</f>
        <v>41.559899736</v>
      </c>
      <c r="K29" s="73"/>
      <c r="L29" s="73"/>
      <c r="M29" s="73"/>
      <c r="N29" s="73"/>
      <c r="O29" s="73"/>
      <c r="P29" s="73"/>
      <c r="Q29" s="73"/>
      <c r="R29" s="73" t="s">
        <v>294</v>
      </c>
      <c r="S29" s="73"/>
      <c r="T29" s="73"/>
      <c r="U29" s="73"/>
      <c r="V29" s="73" t="s">
        <v>292</v>
      </c>
      <c r="W29" s="238" t="n">
        <v>1</v>
      </c>
      <c r="X29" s="239" t="n">
        <f aca="false">W29*8/$T$25</f>
        <v>2</v>
      </c>
      <c r="Y29" s="219" t="n">
        <v>20.51</v>
      </c>
      <c r="Z29" s="219" t="n">
        <f aca="false">X29*Y29</f>
        <v>41.02</v>
      </c>
      <c r="AA29" s="73"/>
    </row>
    <row r="30" customFormat="false" ht="16.4" hidden="false" customHeight="false" outlineLevel="0" collapsed="false">
      <c r="A30" s="73" t="s">
        <v>515</v>
      </c>
      <c r="B30" s="73"/>
      <c r="C30" s="73"/>
      <c r="D30" s="73"/>
      <c r="E30" s="73"/>
      <c r="F30" s="219"/>
      <c r="G30" s="158" t="s">
        <v>297</v>
      </c>
      <c r="H30" s="219" t="n">
        <f aca="false">H28*79.98</f>
        <v>9.613596</v>
      </c>
      <c r="I30" s="73" t="n">
        <f aca="false">Z266</f>
        <v>5.5639628445</v>
      </c>
      <c r="J30" s="219" t="n">
        <f aca="false">H30*I30</f>
        <v>53.4896909460338</v>
      </c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239"/>
      <c r="Y30" s="219"/>
      <c r="Z30" s="235" t="n">
        <f aca="false">SUM(Z28:Z29)</f>
        <v>47.966</v>
      </c>
      <c r="AA30" s="73"/>
    </row>
    <row r="31" customFormat="false" ht="15" hidden="false" customHeight="false" outlineLevel="0" collapsed="false">
      <c r="A31" s="26"/>
      <c r="B31" s="26"/>
      <c r="C31" s="73"/>
      <c r="D31" s="73"/>
      <c r="E31" s="73"/>
      <c r="F31" s="219"/>
      <c r="G31" s="73"/>
      <c r="H31" s="219"/>
      <c r="I31" s="73"/>
      <c r="J31" s="219"/>
      <c r="K31" s="73"/>
      <c r="M31" s="73"/>
      <c r="N31" s="73"/>
      <c r="O31" s="73"/>
      <c r="P31" s="73"/>
      <c r="Q31" s="73"/>
      <c r="R31" s="237" t="s">
        <v>310</v>
      </c>
      <c r="S31" s="73"/>
      <c r="T31" s="73"/>
      <c r="U31" s="73"/>
      <c r="V31" s="73"/>
      <c r="W31" s="73"/>
      <c r="X31" s="239"/>
      <c r="Y31" s="219"/>
      <c r="Z31" s="219"/>
      <c r="AA31" s="73"/>
    </row>
    <row r="32" customFormat="false" ht="15" hidden="false" customHeight="false" outlineLevel="0" collapsed="false">
      <c r="A32" s="73"/>
      <c r="B32" s="73"/>
      <c r="C32" s="73"/>
      <c r="D32" s="73"/>
      <c r="E32" s="73"/>
      <c r="F32" s="219"/>
      <c r="G32" s="73"/>
      <c r="H32" s="219"/>
      <c r="I32" s="73"/>
      <c r="J32" s="219"/>
      <c r="K32" s="73"/>
      <c r="M32" s="73"/>
      <c r="N32" s="73"/>
      <c r="O32" s="73"/>
      <c r="P32" s="73"/>
      <c r="Q32" s="73"/>
      <c r="R32" s="73" t="s">
        <v>311</v>
      </c>
      <c r="S32" s="73"/>
      <c r="T32" s="73"/>
      <c r="U32" s="73"/>
      <c r="V32" s="73" t="s">
        <v>312</v>
      </c>
      <c r="W32" s="73"/>
      <c r="X32" s="239" t="n">
        <v>3</v>
      </c>
      <c r="Y32" s="219" t="n">
        <f aca="false">Z30</f>
        <v>47.966</v>
      </c>
      <c r="Z32" s="219" t="n">
        <f aca="false">X32%*Y32</f>
        <v>1.43898</v>
      </c>
      <c r="AA32" s="73"/>
    </row>
    <row r="33" customFormat="false" ht="15" hidden="false" customHeight="false" outlineLevel="0" collapsed="false">
      <c r="A33" s="73"/>
      <c r="B33" s="73"/>
      <c r="C33" s="73"/>
      <c r="D33" s="73"/>
      <c r="E33" s="73"/>
      <c r="F33" s="219"/>
      <c r="G33" s="73"/>
      <c r="H33" s="219"/>
      <c r="I33" s="73"/>
      <c r="J33" s="219"/>
      <c r="K33" s="73"/>
      <c r="M33" s="73"/>
      <c r="N33" s="73"/>
      <c r="O33" s="73"/>
      <c r="P33" s="73"/>
      <c r="Q33" s="240" t="s">
        <v>672</v>
      </c>
      <c r="R33" s="240" t="s">
        <v>672</v>
      </c>
      <c r="S33" s="240" t="s">
        <v>672</v>
      </c>
      <c r="T33" s="240" t="s">
        <v>672</v>
      </c>
      <c r="U33" s="240" t="s">
        <v>672</v>
      </c>
      <c r="V33" s="240" t="s">
        <v>672</v>
      </c>
      <c r="W33" s="240" t="s">
        <v>672</v>
      </c>
      <c r="X33" s="240" t="s">
        <v>672</v>
      </c>
      <c r="Y33" s="243" t="s">
        <v>672</v>
      </c>
      <c r="Z33" s="241" t="n">
        <f aca="false">SUM(Z32)</f>
        <v>1.43898</v>
      </c>
      <c r="AA33" s="73"/>
    </row>
    <row r="34" customFormat="false" ht="15" hidden="false" customHeight="false" outlineLevel="0" collapsed="false">
      <c r="A34" s="73"/>
      <c r="B34" s="73"/>
      <c r="C34" s="73"/>
      <c r="D34" s="73"/>
      <c r="E34" s="73"/>
      <c r="F34" s="219"/>
      <c r="G34" s="73"/>
      <c r="H34" s="219"/>
      <c r="I34" s="73"/>
      <c r="J34" s="219"/>
      <c r="K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</row>
    <row r="35" customFormat="false" ht="15" hidden="false" customHeight="false" outlineLevel="0" collapsed="false">
      <c r="A35" s="73"/>
      <c r="B35" s="73"/>
      <c r="C35" s="73"/>
      <c r="D35" s="73"/>
      <c r="E35" s="73"/>
      <c r="F35" s="73"/>
      <c r="G35" s="73"/>
      <c r="H35" s="219"/>
      <c r="I35" s="73"/>
      <c r="J35" s="73"/>
      <c r="K35" s="73"/>
      <c r="L35" s="73"/>
      <c r="M35" s="73"/>
      <c r="N35" s="73"/>
      <c r="O35" s="73"/>
      <c r="P35" s="73"/>
      <c r="Q35" s="234" t="s">
        <v>278</v>
      </c>
      <c r="R35" s="234"/>
      <c r="S35" s="234" t="s">
        <v>463</v>
      </c>
      <c r="T35" s="234"/>
      <c r="U35" s="234"/>
      <c r="V35" s="234"/>
      <c r="W35" s="234"/>
      <c r="X35" s="234"/>
      <c r="Y35" s="234"/>
      <c r="Z35" s="234"/>
      <c r="AA35" s="73"/>
    </row>
    <row r="36" customFormat="false" ht="15" hidden="false" customHeight="false" outlineLevel="0" collapsed="false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234" t="s">
        <v>279</v>
      </c>
      <c r="R36" s="234" t="s">
        <v>417</v>
      </c>
      <c r="S36" s="234" t="s">
        <v>281</v>
      </c>
      <c r="T36" s="236" t="n">
        <v>30</v>
      </c>
      <c r="U36" s="236" t="s">
        <v>282</v>
      </c>
      <c r="V36" s="236" t="n">
        <f aca="false">T36</f>
        <v>30</v>
      </c>
      <c r="W36" s="234" t="s">
        <v>283</v>
      </c>
      <c r="X36" s="234"/>
      <c r="Y36" s="234" t="s">
        <v>204</v>
      </c>
      <c r="Z36" s="235" t="n">
        <f aca="false">Z42+Z46+Z50</f>
        <v>66.2342173333333</v>
      </c>
      <c r="AA36" s="73"/>
    </row>
    <row r="37" customFormat="false" ht="15" hidden="false" customHeight="false" outlineLevel="0" collapsed="false">
      <c r="A37" s="70" t="s">
        <v>672</v>
      </c>
      <c r="B37" s="73"/>
      <c r="C37" s="73"/>
      <c r="D37" s="73"/>
      <c r="E37" s="73"/>
      <c r="F37" s="73"/>
      <c r="G37" s="227"/>
      <c r="H37" s="227"/>
      <c r="I37" s="158"/>
      <c r="J37" s="73"/>
      <c r="K37" s="73"/>
      <c r="L37" s="73"/>
      <c r="M37" s="73"/>
      <c r="N37" s="73"/>
      <c r="O37" s="73"/>
      <c r="P37" s="73"/>
      <c r="Q37" s="234" t="s">
        <v>284</v>
      </c>
      <c r="R37" s="234" t="s">
        <v>285</v>
      </c>
      <c r="S37" s="234"/>
      <c r="T37" s="73"/>
      <c r="U37" s="73"/>
      <c r="V37" s="234" t="s">
        <v>123</v>
      </c>
      <c r="W37" s="234" t="s">
        <v>286</v>
      </c>
      <c r="X37" s="234" t="s">
        <v>287</v>
      </c>
      <c r="Y37" s="234" t="s">
        <v>288</v>
      </c>
      <c r="Z37" s="234" t="s">
        <v>289</v>
      </c>
      <c r="AA37" s="73"/>
    </row>
    <row r="38" customFormat="false" ht="15" hidden="false" customHeight="false" outlineLevel="0" collapsed="false">
      <c r="A38" s="73"/>
      <c r="B38" s="73"/>
      <c r="C38" s="73"/>
      <c r="D38" s="73"/>
      <c r="E38" s="73"/>
      <c r="F38" s="73"/>
      <c r="G38" s="73"/>
      <c r="H38" s="73"/>
      <c r="I38" s="73"/>
      <c r="J38" s="219"/>
      <c r="K38" s="73"/>
      <c r="L38" s="73"/>
      <c r="M38" s="73"/>
      <c r="N38" s="73"/>
      <c r="O38" s="73"/>
      <c r="P38" s="73"/>
      <c r="Q38" s="73"/>
      <c r="R38" s="237" t="s">
        <v>290</v>
      </c>
      <c r="S38" s="73"/>
      <c r="T38" s="73"/>
      <c r="U38" s="73"/>
      <c r="V38" s="73"/>
      <c r="W38" s="73"/>
      <c r="X38" s="73"/>
      <c r="Y38" s="73"/>
      <c r="Z38" s="73"/>
      <c r="AA38" s="73"/>
    </row>
    <row r="39" customFormat="false" ht="15" hidden="false" customHeight="false" outlineLevel="0" collapsed="false">
      <c r="A39" s="73"/>
      <c r="B39" s="73"/>
      <c r="C39" s="73"/>
      <c r="D39" s="73"/>
      <c r="E39" s="73"/>
      <c r="F39" s="73"/>
      <c r="G39" s="158"/>
      <c r="H39" s="158"/>
      <c r="I39" s="158"/>
      <c r="J39" s="219"/>
      <c r="K39" s="73"/>
      <c r="L39" s="73"/>
      <c r="M39" s="73"/>
      <c r="N39" s="73"/>
      <c r="O39" s="73"/>
      <c r="P39" s="73"/>
      <c r="Q39" s="73"/>
      <c r="R39" s="73" t="s">
        <v>651</v>
      </c>
      <c r="S39" s="73"/>
      <c r="T39" s="73"/>
      <c r="U39" s="73"/>
      <c r="V39" s="73" t="s">
        <v>292</v>
      </c>
      <c r="W39" s="238" t="n">
        <v>0.1</v>
      </c>
      <c r="X39" s="239" t="n">
        <f aca="false">W39*8/$T$36</f>
        <v>0.0266666666666667</v>
      </c>
      <c r="Y39" s="73" t="n">
        <v>34.73</v>
      </c>
      <c r="Z39" s="219" t="n">
        <f aca="false">X39*Y39</f>
        <v>0.926133333333333</v>
      </c>
      <c r="AA39" s="73"/>
    </row>
    <row r="40" customFormat="false" ht="15" hidden="false" customHeight="false" outlineLevel="0" collapsed="false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 t="s">
        <v>294</v>
      </c>
      <c r="S40" s="73"/>
      <c r="T40" s="73"/>
      <c r="U40" s="73"/>
      <c r="V40" s="73" t="s">
        <v>292</v>
      </c>
      <c r="W40" s="238" t="n">
        <v>1</v>
      </c>
      <c r="X40" s="239" t="n">
        <f aca="false">W40*8/$T$36</f>
        <v>0.266666666666667</v>
      </c>
      <c r="Y40" s="73" t="n">
        <v>20.51</v>
      </c>
      <c r="Z40" s="219" t="n">
        <f aca="false">X40*Y40</f>
        <v>5.46933333333333</v>
      </c>
      <c r="AA40" s="73"/>
    </row>
    <row r="41" customFormat="false" ht="15" hidden="false" customHeight="false" outlineLevel="0" collapsed="false">
      <c r="A41" s="73"/>
      <c r="B41" s="73"/>
      <c r="C41" s="73"/>
      <c r="D41" s="73"/>
      <c r="E41" s="73"/>
      <c r="F41" s="73"/>
      <c r="G41" s="158"/>
      <c r="H41" s="71"/>
      <c r="I41" s="73"/>
      <c r="J41" s="73"/>
      <c r="K41" s="73"/>
      <c r="L41" s="73"/>
      <c r="M41" s="73"/>
      <c r="N41" s="73"/>
      <c r="O41" s="73"/>
      <c r="P41" s="73"/>
      <c r="Q41" s="73"/>
      <c r="R41" s="73" t="s">
        <v>653</v>
      </c>
      <c r="S41" s="73"/>
      <c r="T41" s="73"/>
      <c r="U41" s="73"/>
      <c r="V41" s="73" t="s">
        <v>292</v>
      </c>
      <c r="W41" s="238" t="n">
        <v>1</v>
      </c>
      <c r="X41" s="239" t="n">
        <f aca="false">W41*8/$T$36</f>
        <v>0.266666666666667</v>
      </c>
      <c r="Y41" s="73" t="n">
        <v>29.94</v>
      </c>
      <c r="Z41" s="219" t="n">
        <f aca="false">X41*Y41</f>
        <v>7.984</v>
      </c>
      <c r="AA41" s="73"/>
    </row>
    <row r="42" customFormat="false" ht="15" hidden="false" customHeight="false" outlineLevel="0" collapsed="false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238"/>
      <c r="X42" s="239"/>
      <c r="Y42" s="73"/>
      <c r="Z42" s="235" t="n">
        <f aca="false">SUM(Z39:Z41)</f>
        <v>14.3794666666667</v>
      </c>
      <c r="AA42" s="73"/>
    </row>
    <row r="43" customFormat="false" ht="15" hidden="false" customHeight="false" outlineLevel="0" collapsed="false">
      <c r="A43" s="26"/>
      <c r="B43" s="234"/>
      <c r="C43" s="73"/>
      <c r="D43" s="73"/>
      <c r="E43" s="73"/>
      <c r="F43" s="73"/>
      <c r="G43" s="234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237" t="s">
        <v>654</v>
      </c>
      <c r="S43" s="73"/>
      <c r="T43" s="73"/>
      <c r="U43" s="73"/>
      <c r="V43" s="73"/>
      <c r="W43" s="238"/>
      <c r="X43" s="239"/>
      <c r="Y43" s="73"/>
      <c r="Z43" s="73"/>
      <c r="AA43" s="73"/>
    </row>
    <row r="44" customFormat="false" ht="15" hidden="false" customHeight="false" outlineLevel="0" collapsed="false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 t="s">
        <v>655</v>
      </c>
      <c r="S44" s="73"/>
      <c r="T44" s="73"/>
      <c r="U44" s="73"/>
      <c r="V44" s="73" t="s">
        <v>204</v>
      </c>
      <c r="W44" s="238"/>
      <c r="X44" s="239" t="n">
        <v>1.05</v>
      </c>
      <c r="Y44" s="244" t="n">
        <v>44.07</v>
      </c>
      <c r="Z44" s="219" t="n">
        <f aca="false">X44*Y44</f>
        <v>46.2735</v>
      </c>
      <c r="AA44" s="73"/>
    </row>
    <row r="45" customFormat="false" ht="15" hidden="false" customHeight="false" outlineLevel="0" collapsed="false">
      <c r="A45" s="26"/>
      <c r="B45" s="26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 t="s">
        <v>656</v>
      </c>
      <c r="S45" s="73"/>
      <c r="T45" s="73"/>
      <c r="U45" s="73"/>
      <c r="V45" s="73" t="s">
        <v>204</v>
      </c>
      <c r="W45" s="238"/>
      <c r="X45" s="239" t="n">
        <v>0.08</v>
      </c>
      <c r="Y45" s="73" t="n">
        <v>6.14</v>
      </c>
      <c r="Z45" s="219" t="n">
        <f aca="false">X45*Y45</f>
        <v>0.4912</v>
      </c>
      <c r="AA45" s="73"/>
    </row>
    <row r="46" customFormat="false" ht="15" hidden="false" customHeight="false" outlineLevel="0" collapsed="false">
      <c r="A46" s="70"/>
      <c r="B46" s="73"/>
      <c r="C46" s="73"/>
      <c r="D46" s="73"/>
      <c r="E46" s="73"/>
      <c r="F46" s="73"/>
      <c r="G46" s="73"/>
      <c r="I46" s="219"/>
      <c r="J46" s="219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238"/>
      <c r="X46" s="239"/>
      <c r="Y46" s="73"/>
      <c r="Z46" s="235" t="n">
        <f aca="false">SUM(Z44:Z45)</f>
        <v>46.7647</v>
      </c>
      <c r="AA46" s="73"/>
    </row>
    <row r="47" customFormat="false" ht="15" hidden="false" customHeight="false" outlineLevel="0" collapsed="false">
      <c r="A47" s="70"/>
      <c r="B47" s="73"/>
      <c r="C47" s="73"/>
      <c r="D47" s="73"/>
      <c r="E47" s="73"/>
      <c r="F47" s="73"/>
      <c r="G47" s="73"/>
      <c r="I47" s="219"/>
      <c r="J47" s="219"/>
      <c r="K47" s="73"/>
      <c r="L47" s="73"/>
      <c r="M47" s="73"/>
      <c r="N47" s="73"/>
      <c r="O47" s="73"/>
      <c r="P47" s="73"/>
      <c r="Q47" s="73"/>
      <c r="R47" s="237" t="s">
        <v>310</v>
      </c>
      <c r="S47" s="73"/>
      <c r="T47" s="73"/>
      <c r="U47" s="73"/>
      <c r="V47" s="73"/>
      <c r="W47" s="238"/>
      <c r="X47" s="239"/>
      <c r="Y47" s="73"/>
      <c r="Z47" s="73"/>
      <c r="AA47" s="73"/>
    </row>
    <row r="48" customFormat="false" ht="15" hidden="false" customHeight="false" outlineLevel="0" collapsed="false">
      <c r="A48" s="70"/>
      <c r="B48" s="73"/>
      <c r="C48" s="73"/>
      <c r="D48" s="73"/>
      <c r="E48" s="73"/>
      <c r="F48" s="73"/>
      <c r="G48" s="73"/>
      <c r="I48" s="219"/>
      <c r="J48" s="219"/>
      <c r="K48" s="73"/>
      <c r="L48" s="73"/>
      <c r="M48" s="73"/>
      <c r="N48" s="73"/>
      <c r="O48" s="73"/>
      <c r="P48" s="73"/>
      <c r="Q48" s="73"/>
      <c r="R48" s="73" t="s">
        <v>311</v>
      </c>
      <c r="S48" s="73"/>
      <c r="T48" s="73"/>
      <c r="U48" s="73"/>
      <c r="V48" s="73" t="s">
        <v>312</v>
      </c>
      <c r="W48" s="238"/>
      <c r="X48" s="239" t="n">
        <v>3</v>
      </c>
      <c r="Y48" s="219" t="n">
        <f aca="false">Z42</f>
        <v>14.3794666666667</v>
      </c>
      <c r="Z48" s="219" t="n">
        <f aca="false">X48%*Y48</f>
        <v>0.431384</v>
      </c>
      <c r="AA48" s="73"/>
    </row>
    <row r="49" customFormat="false" ht="15" hidden="false" customHeight="false" outlineLevel="0" collapsed="false">
      <c r="A49" s="70"/>
      <c r="B49" s="73"/>
      <c r="C49" s="73"/>
      <c r="D49" s="73"/>
      <c r="E49" s="73"/>
      <c r="F49" s="73"/>
      <c r="G49" s="73"/>
      <c r="I49" s="219"/>
      <c r="J49" s="219"/>
      <c r="K49" s="158"/>
      <c r="L49" s="73"/>
      <c r="M49" s="73"/>
      <c r="N49" s="73"/>
      <c r="O49" s="73"/>
      <c r="P49" s="73"/>
      <c r="Q49" s="73"/>
      <c r="R49" s="73" t="s">
        <v>657</v>
      </c>
      <c r="S49" s="73"/>
      <c r="T49" s="73"/>
      <c r="U49" s="73"/>
      <c r="V49" s="73" t="s">
        <v>338</v>
      </c>
      <c r="W49" s="238" t="n">
        <v>1</v>
      </c>
      <c r="X49" s="239" t="n">
        <f aca="false">W49*8/$T$36</f>
        <v>0.266666666666667</v>
      </c>
      <c r="Y49" s="73" t="n">
        <v>17.47</v>
      </c>
      <c r="Z49" s="219" t="n">
        <f aca="false">X49*Y49</f>
        <v>4.65866666666667</v>
      </c>
      <c r="AA49" s="73"/>
    </row>
    <row r="50" customFormat="false" ht="15" hidden="false" customHeight="false" outlineLevel="0" collapsed="false">
      <c r="A50" s="70"/>
      <c r="B50" s="73"/>
      <c r="C50" s="73"/>
      <c r="D50" s="73"/>
      <c r="E50" s="73"/>
      <c r="F50" s="73"/>
      <c r="G50" s="73"/>
      <c r="I50" s="219"/>
      <c r="J50" s="219"/>
      <c r="K50" s="73"/>
      <c r="L50" s="73"/>
      <c r="M50" s="73"/>
      <c r="N50" s="73"/>
      <c r="O50" s="73"/>
      <c r="P50" s="73"/>
      <c r="Q50" s="240" t="s">
        <v>672</v>
      </c>
      <c r="R50" s="240" t="s">
        <v>672</v>
      </c>
      <c r="S50" s="240" t="s">
        <v>672</v>
      </c>
      <c r="T50" s="240" t="s">
        <v>672</v>
      </c>
      <c r="U50" s="240" t="s">
        <v>672</v>
      </c>
      <c r="V50" s="240" t="s">
        <v>672</v>
      </c>
      <c r="W50" s="240" t="s">
        <v>672</v>
      </c>
      <c r="X50" s="240" t="s">
        <v>672</v>
      </c>
      <c r="Y50" s="243" t="s">
        <v>672</v>
      </c>
      <c r="Z50" s="241" t="n">
        <f aca="false">SUM(Z48:Z49)</f>
        <v>5.09005066666667</v>
      </c>
      <c r="AA50" s="73"/>
    </row>
    <row r="51" customFormat="false" ht="15" hidden="false" customHeight="false" outlineLevel="0" collapsed="false">
      <c r="A51" s="70"/>
      <c r="B51" s="73"/>
      <c r="C51" s="73"/>
      <c r="D51" s="73"/>
      <c r="E51" s="73"/>
      <c r="F51" s="73"/>
      <c r="G51" s="73"/>
      <c r="I51" s="219"/>
      <c r="J51" s="219"/>
      <c r="K51" s="158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</row>
    <row r="52" customFormat="false" ht="15" hidden="false" customHeight="false" outlineLevel="0" collapsed="false">
      <c r="A52" s="70"/>
      <c r="B52" s="73"/>
      <c r="C52" s="73"/>
      <c r="D52" s="73"/>
      <c r="E52" s="73"/>
      <c r="F52" s="73"/>
      <c r="G52" s="73"/>
      <c r="I52" s="219"/>
      <c r="J52" s="219"/>
      <c r="K52" s="73"/>
      <c r="L52" s="73"/>
      <c r="M52" s="73"/>
      <c r="N52" s="73"/>
      <c r="O52" s="73"/>
      <c r="P52" s="73"/>
      <c r="Q52" s="234" t="s">
        <v>278</v>
      </c>
      <c r="R52" s="234"/>
      <c r="S52" s="234" t="s">
        <v>465</v>
      </c>
      <c r="T52" s="234"/>
      <c r="U52" s="234"/>
      <c r="V52" s="234"/>
      <c r="W52" s="234"/>
      <c r="X52" s="234"/>
      <c r="Y52" s="234"/>
      <c r="Z52" s="73"/>
      <c r="AA52" s="73"/>
    </row>
    <row r="53" customFormat="false" ht="15" hidden="false" customHeight="false" outlineLevel="0" collapsed="false">
      <c r="A53" s="26"/>
      <c r="B53" s="26"/>
      <c r="C53" s="73"/>
      <c r="D53" s="73"/>
      <c r="E53" s="73"/>
      <c r="F53" s="73"/>
      <c r="G53" s="73"/>
      <c r="I53" s="219"/>
      <c r="J53" s="219"/>
      <c r="K53" s="73"/>
      <c r="L53" s="73"/>
      <c r="M53" s="73"/>
      <c r="N53" s="73"/>
      <c r="O53" s="73"/>
      <c r="P53" s="73"/>
      <c r="Q53" s="234" t="s">
        <v>279</v>
      </c>
      <c r="R53" s="234" t="s">
        <v>417</v>
      </c>
      <c r="S53" s="234" t="s">
        <v>281</v>
      </c>
      <c r="T53" s="236" t="n">
        <v>40</v>
      </c>
      <c r="U53" s="236" t="s">
        <v>282</v>
      </c>
      <c r="V53" s="236" t="n">
        <f aca="false">T53</f>
        <v>40</v>
      </c>
      <c r="W53" s="234" t="s">
        <v>283</v>
      </c>
      <c r="X53" s="234"/>
      <c r="Y53" s="234" t="s">
        <v>204</v>
      </c>
      <c r="Z53" s="235" t="n">
        <f aca="false">Z59+Z62+Z67</f>
        <v>19.79083</v>
      </c>
      <c r="AA53" s="73"/>
    </row>
    <row r="54" customFormat="false" ht="15" hidden="false" customHeight="false" outlineLevel="0" collapsed="false">
      <c r="A54" s="73"/>
      <c r="B54" s="73"/>
      <c r="C54" s="73"/>
      <c r="D54" s="73"/>
      <c r="E54" s="73"/>
      <c r="F54" s="73"/>
      <c r="G54" s="73"/>
      <c r="I54" s="219"/>
      <c r="J54" s="219"/>
      <c r="K54" s="73"/>
      <c r="L54" s="73"/>
      <c r="M54" s="73"/>
      <c r="N54" s="73"/>
      <c r="O54" s="73"/>
      <c r="P54" s="73"/>
      <c r="Q54" s="234" t="s">
        <v>284</v>
      </c>
      <c r="R54" s="234" t="s">
        <v>285</v>
      </c>
      <c r="S54" s="234"/>
      <c r="T54" s="73"/>
      <c r="U54" s="73"/>
      <c r="V54" s="234" t="s">
        <v>123</v>
      </c>
      <c r="W54" s="234" t="s">
        <v>286</v>
      </c>
      <c r="X54" s="234" t="s">
        <v>287</v>
      </c>
      <c r="Y54" s="234" t="s">
        <v>288</v>
      </c>
      <c r="Z54" s="234" t="s">
        <v>289</v>
      </c>
      <c r="AA54" s="73"/>
    </row>
    <row r="55" customFormat="false" ht="15" hidden="false" customHeight="false" outlineLevel="0" collapsed="false">
      <c r="A55" s="72"/>
      <c r="B55" s="72"/>
      <c r="C55" s="73"/>
      <c r="D55" s="73"/>
      <c r="E55" s="73"/>
      <c r="F55" s="73"/>
      <c r="G55" s="73"/>
      <c r="I55" s="219"/>
      <c r="J55" s="219"/>
      <c r="K55" s="73"/>
      <c r="L55" s="73"/>
      <c r="M55" s="73"/>
      <c r="N55" s="73"/>
      <c r="O55" s="73"/>
      <c r="P55" s="73"/>
      <c r="Q55" s="73"/>
      <c r="R55" s="237" t="s">
        <v>290</v>
      </c>
      <c r="S55" s="73"/>
      <c r="T55" s="73"/>
      <c r="U55" s="73"/>
      <c r="V55" s="73"/>
      <c r="W55" s="73"/>
      <c r="X55" s="73"/>
      <c r="Y55" s="73"/>
      <c r="Z55" s="73"/>
      <c r="AA55" s="73"/>
    </row>
    <row r="56" customFormat="false" ht="15" hidden="false" customHeight="false" outlineLevel="0" collapsed="false">
      <c r="A56" s="70"/>
      <c r="B56" s="70"/>
      <c r="C56" s="70"/>
      <c r="D56" s="70"/>
      <c r="E56" s="70"/>
      <c r="F56" s="73"/>
      <c r="G56" s="73"/>
      <c r="I56" s="223"/>
      <c r="J56" s="219"/>
      <c r="K56" s="73"/>
      <c r="L56" s="73"/>
      <c r="M56" s="73"/>
      <c r="N56" s="73"/>
      <c r="O56" s="73"/>
      <c r="P56" s="73"/>
      <c r="Q56" s="73"/>
      <c r="R56" s="73" t="s">
        <v>651</v>
      </c>
      <c r="S56" s="73"/>
      <c r="T56" s="73"/>
      <c r="U56" s="73"/>
      <c r="V56" s="73" t="s">
        <v>292</v>
      </c>
      <c r="W56" s="238" t="n">
        <v>0.1</v>
      </c>
      <c r="X56" s="239" t="n">
        <f aca="false">W56*8/$T$53</f>
        <v>0.02</v>
      </c>
      <c r="Y56" s="73" t="n">
        <v>34.73</v>
      </c>
      <c r="Z56" s="219" t="n">
        <f aca="false">X56*Y56</f>
        <v>0.6946</v>
      </c>
      <c r="AA56" s="73"/>
    </row>
    <row r="57" customFormat="false" ht="15" hidden="false" customHeight="false" outlineLevel="0" collapsed="false">
      <c r="A57" s="72"/>
      <c r="B57" s="73"/>
      <c r="C57" s="73"/>
      <c r="D57" s="73"/>
      <c r="E57" s="73"/>
      <c r="F57" s="73"/>
      <c r="G57" s="73"/>
      <c r="I57" s="208"/>
      <c r="J57" s="219"/>
      <c r="K57" s="158"/>
      <c r="L57" s="73"/>
      <c r="M57" s="73"/>
      <c r="N57" s="73"/>
      <c r="O57" s="73"/>
      <c r="P57" s="73"/>
      <c r="Q57" s="73"/>
      <c r="R57" s="73" t="s">
        <v>294</v>
      </c>
      <c r="S57" s="73"/>
      <c r="T57" s="73"/>
      <c r="U57" s="73"/>
      <c r="V57" s="73" t="s">
        <v>292</v>
      </c>
      <c r="W57" s="238" t="n">
        <v>2</v>
      </c>
      <c r="X57" s="239" t="n">
        <f aca="false">W57*8/$T$53</f>
        <v>0.4</v>
      </c>
      <c r="Y57" s="73" t="n">
        <v>20.51</v>
      </c>
      <c r="Z57" s="219" t="n">
        <f aca="false">X57*Y57</f>
        <v>8.204</v>
      </c>
      <c r="AA57" s="73"/>
    </row>
    <row r="58" customFormat="false" ht="15" hidden="false" customHeight="false" outlineLevel="0" collapsed="false">
      <c r="A58" s="73"/>
      <c r="B58" s="73"/>
      <c r="C58" s="73"/>
      <c r="D58" s="73"/>
      <c r="E58" s="73"/>
      <c r="F58" s="73"/>
      <c r="G58" s="73"/>
      <c r="I58" s="208"/>
      <c r="J58" s="219"/>
      <c r="K58" s="158"/>
      <c r="L58" s="73"/>
      <c r="M58" s="73"/>
      <c r="N58" s="73"/>
      <c r="O58" s="73"/>
      <c r="P58" s="73"/>
      <c r="Q58" s="73"/>
      <c r="R58" s="73" t="s">
        <v>653</v>
      </c>
      <c r="S58" s="73"/>
      <c r="T58" s="73"/>
      <c r="U58" s="73"/>
      <c r="V58" s="73" t="s">
        <v>292</v>
      </c>
      <c r="W58" s="238" t="n">
        <v>1</v>
      </c>
      <c r="X58" s="239" t="n">
        <f aca="false">W58*8/$T$53</f>
        <v>0.2</v>
      </c>
      <c r="Y58" s="73" t="n">
        <v>29.94</v>
      </c>
      <c r="Z58" s="219" t="n">
        <f aca="false">X58*Y58</f>
        <v>5.988</v>
      </c>
      <c r="AA58" s="73"/>
    </row>
    <row r="59" customFormat="false" ht="15" hidden="false" customHeight="false" outlineLevel="0" collapsed="false">
      <c r="A59" s="72"/>
      <c r="B59" s="72"/>
      <c r="C59" s="72"/>
      <c r="D59" s="73"/>
      <c r="E59" s="73"/>
      <c r="F59" s="73"/>
      <c r="G59" s="73"/>
      <c r="I59" s="208"/>
      <c r="J59" s="219"/>
      <c r="K59" s="158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238"/>
      <c r="X59" s="239"/>
      <c r="Y59" s="73"/>
      <c r="Z59" s="235" t="n">
        <f aca="false">SUM(Z56:Z58)</f>
        <v>14.8866</v>
      </c>
      <c r="AA59" s="73"/>
    </row>
    <row r="60" customFormat="false" ht="15" hidden="false" customHeight="false" outlineLevel="0" collapsed="false">
      <c r="A60" s="72"/>
      <c r="B60" s="72"/>
      <c r="C60" s="72"/>
      <c r="D60" s="73"/>
      <c r="E60" s="73"/>
      <c r="F60" s="73"/>
      <c r="G60" s="73"/>
      <c r="I60" s="208"/>
      <c r="J60" s="219"/>
      <c r="K60" s="73"/>
      <c r="L60" s="73"/>
      <c r="M60" s="73"/>
      <c r="N60" s="73"/>
      <c r="O60" s="73"/>
      <c r="P60" s="73"/>
      <c r="Q60" s="73"/>
      <c r="R60" s="237" t="s">
        <v>654</v>
      </c>
      <c r="S60" s="73"/>
      <c r="T60" s="73"/>
      <c r="U60" s="73"/>
      <c r="V60" s="73"/>
      <c r="W60" s="238"/>
      <c r="X60" s="239"/>
      <c r="Y60" s="73"/>
      <c r="Z60" s="73"/>
      <c r="AA60" s="73"/>
    </row>
    <row r="61" customFormat="false" ht="15" hidden="false" customHeight="false" outlineLevel="0" collapsed="false">
      <c r="A61" s="73"/>
      <c r="B61" s="73"/>
      <c r="C61" s="73"/>
      <c r="D61" s="73"/>
      <c r="E61" s="73"/>
      <c r="F61" s="73"/>
      <c r="G61" s="73"/>
      <c r="I61" s="208"/>
      <c r="J61" s="219"/>
      <c r="K61" s="73"/>
      <c r="L61" s="73"/>
      <c r="M61" s="73"/>
      <c r="N61" s="73"/>
      <c r="O61" s="73"/>
      <c r="P61" s="73"/>
      <c r="Q61" s="73"/>
      <c r="R61" s="73" t="s">
        <v>656</v>
      </c>
      <c r="S61" s="73"/>
      <c r="T61" s="73"/>
      <c r="U61" s="73"/>
      <c r="V61" s="73" t="s">
        <v>204</v>
      </c>
      <c r="W61" s="238"/>
      <c r="X61" s="239" t="n">
        <v>0.08</v>
      </c>
      <c r="Y61" s="73" t="n">
        <v>6.14</v>
      </c>
      <c r="Z61" s="219" t="n">
        <f aca="false">X61*Y61</f>
        <v>0.4912</v>
      </c>
      <c r="AA61" s="73"/>
    </row>
    <row r="62" customFormat="false" ht="15" hidden="false" customHeight="false" outlineLevel="0" collapsed="false">
      <c r="A62" s="73"/>
      <c r="B62" s="73"/>
      <c r="C62" s="73"/>
      <c r="D62" s="73"/>
      <c r="E62" s="73"/>
      <c r="F62" s="73"/>
      <c r="G62" s="73"/>
      <c r="I62" s="219"/>
      <c r="J62" s="219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238"/>
      <c r="X62" s="239"/>
      <c r="Y62" s="73"/>
      <c r="Z62" s="235" t="n">
        <f aca="false">SUM(Z61)</f>
        <v>0.4912</v>
      </c>
      <c r="AA62" s="73"/>
    </row>
    <row r="63" customFormat="false" ht="15" hidden="false" customHeight="false" outlineLevel="0" collapsed="false">
      <c r="A63" s="73"/>
      <c r="B63" s="73"/>
      <c r="C63" s="73"/>
      <c r="D63" s="73"/>
      <c r="E63" s="73"/>
      <c r="F63" s="73"/>
      <c r="G63" s="73"/>
      <c r="I63" s="208"/>
      <c r="J63" s="219"/>
      <c r="K63" s="158"/>
      <c r="L63" s="73"/>
      <c r="M63" s="73"/>
      <c r="N63" s="73"/>
      <c r="O63" s="73"/>
      <c r="P63" s="73"/>
      <c r="Q63" s="73"/>
      <c r="R63" s="237" t="s">
        <v>310</v>
      </c>
      <c r="S63" s="73"/>
      <c r="T63" s="73"/>
      <c r="U63" s="73"/>
      <c r="V63" s="73"/>
      <c r="W63" s="238"/>
      <c r="X63" s="239"/>
      <c r="Y63" s="73"/>
      <c r="Z63" s="73"/>
      <c r="AA63" s="73"/>
    </row>
    <row r="64" customFormat="false" ht="15" hidden="false" customHeight="false" outlineLevel="0" collapsed="false">
      <c r="A64" s="226"/>
      <c r="B64" s="73"/>
      <c r="C64" s="73"/>
      <c r="D64" s="73"/>
      <c r="E64" s="73"/>
      <c r="F64" s="73"/>
      <c r="G64" s="158"/>
      <c r="I64" s="208"/>
      <c r="J64" s="219"/>
      <c r="K64" s="73"/>
      <c r="L64" s="73"/>
      <c r="M64" s="73"/>
      <c r="N64" s="73"/>
      <c r="O64" s="73"/>
      <c r="P64" s="73"/>
      <c r="Q64" s="73"/>
      <c r="R64" s="73" t="s">
        <v>311</v>
      </c>
      <c r="S64" s="73"/>
      <c r="T64" s="73"/>
      <c r="U64" s="73"/>
      <c r="V64" s="73" t="s">
        <v>312</v>
      </c>
      <c r="W64" s="238"/>
      <c r="X64" s="239" t="n">
        <v>5</v>
      </c>
      <c r="Y64" s="219" t="n">
        <f aca="false">Z59</f>
        <v>14.8866</v>
      </c>
      <c r="Z64" s="219" t="n">
        <f aca="false">X64%*Y64</f>
        <v>0.74433</v>
      </c>
      <c r="AA64" s="73"/>
    </row>
    <row r="65" customFormat="false" ht="15" hidden="false" customHeight="false" outlineLevel="0" collapsed="false">
      <c r="A65" s="73"/>
      <c r="B65" s="73"/>
      <c r="C65" s="73"/>
      <c r="D65" s="73"/>
      <c r="E65" s="73"/>
      <c r="F65" s="73"/>
      <c r="G65" s="158"/>
      <c r="I65" s="208"/>
      <c r="J65" s="219"/>
      <c r="K65" s="73"/>
      <c r="L65" s="73"/>
      <c r="M65" s="73"/>
      <c r="N65" s="73"/>
      <c r="O65" s="73"/>
      <c r="P65" s="73"/>
      <c r="Q65" s="73"/>
      <c r="R65" s="73" t="s">
        <v>657</v>
      </c>
      <c r="S65" s="73"/>
      <c r="T65" s="73"/>
      <c r="U65" s="73"/>
      <c r="V65" s="73" t="s">
        <v>338</v>
      </c>
      <c r="W65" s="238" t="n">
        <v>1</v>
      </c>
      <c r="X65" s="239" t="n">
        <f aca="false">W65*8/$T$53</f>
        <v>0.2</v>
      </c>
      <c r="Y65" s="73" t="n">
        <v>17.47</v>
      </c>
      <c r="Z65" s="219" t="n">
        <f aca="false">X65*Y65</f>
        <v>3.494</v>
      </c>
      <c r="AA65" s="73"/>
    </row>
    <row r="66" customFormat="false" ht="15" hidden="false" customHeight="false" outlineLevel="0" collapsed="false">
      <c r="A66" s="73"/>
      <c r="B66" s="73"/>
      <c r="C66" s="73"/>
      <c r="D66" s="73"/>
      <c r="E66" s="73"/>
      <c r="F66" s="73"/>
      <c r="G66" s="158"/>
      <c r="I66" s="208"/>
      <c r="J66" s="219"/>
      <c r="K66" s="73"/>
      <c r="L66" s="73"/>
      <c r="M66" s="73"/>
      <c r="N66" s="73"/>
      <c r="O66" s="73"/>
      <c r="P66" s="73"/>
      <c r="Q66" s="73"/>
      <c r="R66" s="73" t="s">
        <v>658</v>
      </c>
      <c r="S66" s="73"/>
      <c r="T66" s="73"/>
      <c r="U66" s="73"/>
      <c r="V66" s="73" t="s">
        <v>338</v>
      </c>
      <c r="W66" s="238" t="n">
        <v>0.05</v>
      </c>
      <c r="X66" s="239" t="n">
        <f aca="false">W66*8/$T$53</f>
        <v>0.01</v>
      </c>
      <c r="Y66" s="73" t="n">
        <v>17.47</v>
      </c>
      <c r="Z66" s="219" t="n">
        <f aca="false">X66*Y66</f>
        <v>0.1747</v>
      </c>
      <c r="AA66" s="73"/>
    </row>
    <row r="67" customFormat="false" ht="15" hidden="false" customHeight="false" outlineLevel="0" collapsed="false">
      <c r="A67" s="73"/>
      <c r="B67" s="73"/>
      <c r="C67" s="73"/>
      <c r="D67" s="73"/>
      <c r="E67" s="73"/>
      <c r="F67" s="73"/>
      <c r="G67" s="158"/>
      <c r="I67" s="208"/>
      <c r="J67" s="219"/>
      <c r="K67" s="73"/>
      <c r="L67" s="73"/>
      <c r="M67" s="73"/>
      <c r="N67" s="73"/>
      <c r="O67" s="73"/>
      <c r="P67" s="73"/>
      <c r="Q67" s="240" t="s">
        <v>672</v>
      </c>
      <c r="R67" s="240" t="s">
        <v>672</v>
      </c>
      <c r="S67" s="240" t="s">
        <v>672</v>
      </c>
      <c r="T67" s="240" t="s">
        <v>672</v>
      </c>
      <c r="U67" s="240" t="s">
        <v>672</v>
      </c>
      <c r="V67" s="240" t="s">
        <v>672</v>
      </c>
      <c r="W67" s="240" t="s">
        <v>672</v>
      </c>
      <c r="X67" s="240" t="s">
        <v>672</v>
      </c>
      <c r="Y67" s="243" t="s">
        <v>672</v>
      </c>
      <c r="Z67" s="241" t="n">
        <f aca="false">SUM(Z64:Z66)</f>
        <v>4.41303</v>
      </c>
      <c r="AA67" s="73"/>
    </row>
    <row r="68" customFormat="false" ht="15" hidden="false" customHeight="false" outlineLevel="0" collapsed="false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  <c r="AA68" s="73"/>
    </row>
    <row r="69" customFormat="false" ht="15" hidden="false" customHeight="false" outlineLevel="0" collapsed="false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234" t="s">
        <v>278</v>
      </c>
      <c r="R69" s="234"/>
      <c r="S69" s="234" t="s">
        <v>1345</v>
      </c>
      <c r="T69" s="234"/>
      <c r="U69" s="234"/>
      <c r="V69" s="234"/>
      <c r="W69" s="234"/>
      <c r="X69" s="73"/>
      <c r="Y69" s="73"/>
      <c r="Z69" s="73"/>
      <c r="AA69" s="73"/>
    </row>
    <row r="70" customFormat="false" ht="15" hidden="false" customHeight="false" outlineLevel="0" collapsed="false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234" t="s">
        <v>279</v>
      </c>
      <c r="R70" s="234" t="s">
        <v>280</v>
      </c>
      <c r="S70" s="234" t="s">
        <v>281</v>
      </c>
      <c r="T70" s="236" t="n">
        <v>500</v>
      </c>
      <c r="U70" s="236" t="s">
        <v>282</v>
      </c>
      <c r="V70" s="236" t="n">
        <f aca="false">T70</f>
        <v>500</v>
      </c>
      <c r="W70" s="234" t="s">
        <v>283</v>
      </c>
      <c r="X70" s="234"/>
      <c r="Y70" s="234" t="s">
        <v>134</v>
      </c>
      <c r="Z70" s="235" t="n">
        <f aca="false">Z76+Z82</f>
        <v>7.998448</v>
      </c>
      <c r="AA70" s="73"/>
    </row>
    <row r="71" customFormat="false" ht="15" hidden="false" customHeight="false" outlineLevel="0" collapsed="false">
      <c r="A71" s="73"/>
      <c r="B71" s="73"/>
      <c r="C71" s="73"/>
      <c r="D71" s="73"/>
      <c r="E71" s="73"/>
      <c r="F71" s="73"/>
      <c r="G71" s="73"/>
      <c r="H71" s="245"/>
      <c r="I71" s="73"/>
      <c r="J71" s="73"/>
      <c r="K71" s="73"/>
      <c r="L71" s="73"/>
      <c r="M71" s="73"/>
      <c r="N71" s="73"/>
      <c r="O71" s="73"/>
      <c r="P71" s="73"/>
      <c r="Q71" s="234" t="s">
        <v>284</v>
      </c>
      <c r="R71" s="234" t="s">
        <v>285</v>
      </c>
      <c r="S71" s="234"/>
      <c r="T71" s="73"/>
      <c r="U71" s="73"/>
      <c r="V71" s="234" t="s">
        <v>123</v>
      </c>
      <c r="W71" s="234" t="s">
        <v>286</v>
      </c>
      <c r="X71" s="234" t="s">
        <v>287</v>
      </c>
      <c r="Y71" s="234" t="s">
        <v>288</v>
      </c>
      <c r="Z71" s="234" t="s">
        <v>289</v>
      </c>
      <c r="AA71" s="73"/>
    </row>
    <row r="72" customFormat="false" ht="15" hidden="false" customHeight="false" outlineLevel="0" collapsed="false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237" t="s">
        <v>290</v>
      </c>
      <c r="S72" s="73"/>
      <c r="T72" s="73"/>
      <c r="U72" s="73"/>
      <c r="V72" s="73"/>
      <c r="W72" s="73"/>
      <c r="X72" s="73"/>
      <c r="Y72" s="73"/>
      <c r="Z72" s="73"/>
      <c r="AA72" s="73"/>
    </row>
    <row r="73" customFormat="false" ht="15" hidden="false" customHeight="false" outlineLevel="0" collapsed="false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 t="s">
        <v>651</v>
      </c>
      <c r="S73" s="73"/>
      <c r="T73" s="73"/>
      <c r="U73" s="73"/>
      <c r="V73" s="73" t="s">
        <v>292</v>
      </c>
      <c r="W73" s="238" t="n">
        <v>1</v>
      </c>
      <c r="X73" s="239" t="n">
        <f aca="false">W73*8/$T$70</f>
        <v>0.016</v>
      </c>
      <c r="Y73" s="73" t="n">
        <v>34.73</v>
      </c>
      <c r="Z73" s="219" t="n">
        <f aca="false">X73*Y73</f>
        <v>0.55568</v>
      </c>
      <c r="AA73" s="73"/>
    </row>
    <row r="74" customFormat="false" ht="15" hidden="false" customHeight="false" outlineLevel="0" collapsed="false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 t="s">
        <v>293</v>
      </c>
      <c r="S74" s="73"/>
      <c r="T74" s="73"/>
      <c r="U74" s="73"/>
      <c r="V74" s="73" t="s">
        <v>292</v>
      </c>
      <c r="W74" s="238" t="n">
        <v>1</v>
      </c>
      <c r="X74" s="239" t="n">
        <f aca="false">W74*8/$T$70</f>
        <v>0.016</v>
      </c>
      <c r="Y74" s="73" t="n">
        <v>23.6</v>
      </c>
      <c r="Z74" s="219" t="n">
        <f aca="false">X74*Y74</f>
        <v>0.3776</v>
      </c>
      <c r="AA74" s="73"/>
    </row>
    <row r="75" customFormat="false" ht="15" hidden="false" customHeight="false" outlineLevel="0" collapsed="false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 t="s">
        <v>294</v>
      </c>
      <c r="S75" s="73"/>
      <c r="T75" s="73"/>
      <c r="U75" s="73"/>
      <c r="V75" s="73" t="s">
        <v>292</v>
      </c>
      <c r="W75" s="238" t="n">
        <v>3</v>
      </c>
      <c r="X75" s="239" t="n">
        <f aca="false">W75*8/$T$70</f>
        <v>0.048</v>
      </c>
      <c r="Y75" s="73" t="n">
        <v>20.51</v>
      </c>
      <c r="Z75" s="219" t="n">
        <f aca="false">X75*Y75</f>
        <v>0.98448</v>
      </c>
      <c r="AA75" s="73"/>
    </row>
    <row r="76" customFormat="false" ht="15" hidden="false" customHeight="false" outlineLevel="0" collapsed="false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238"/>
      <c r="X76" s="239"/>
      <c r="Y76" s="73"/>
      <c r="Z76" s="235" t="n">
        <f aca="false">SUM(Z73:Z75)</f>
        <v>1.91776</v>
      </c>
      <c r="AA76" s="73"/>
    </row>
    <row r="77" customFormat="false" ht="15" hidden="false" customHeight="false" outlineLevel="0" collapsed="false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237" t="s">
        <v>310</v>
      </c>
      <c r="S77" s="73"/>
      <c r="T77" s="73"/>
      <c r="U77" s="73"/>
      <c r="V77" s="73"/>
      <c r="W77" s="238"/>
      <c r="X77" s="239"/>
      <c r="Y77" s="73"/>
      <c r="Z77" s="73"/>
      <c r="AA77" s="73"/>
    </row>
    <row r="78" customFormat="false" ht="15" hidden="false" customHeight="false" outlineLevel="0" collapsed="false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 t="s">
        <v>311</v>
      </c>
      <c r="S78" s="73"/>
      <c r="T78" s="73"/>
      <c r="U78" s="73"/>
      <c r="V78" s="73" t="s">
        <v>312</v>
      </c>
      <c r="W78" s="238"/>
      <c r="X78" s="239" t="n">
        <v>5</v>
      </c>
      <c r="Y78" s="219" t="n">
        <f aca="false">Z76</f>
        <v>1.91776</v>
      </c>
      <c r="Z78" s="219" t="n">
        <f aca="false">X78%*Y78</f>
        <v>0.095888</v>
      </c>
      <c r="AA78" s="73"/>
    </row>
    <row r="79" customFormat="false" ht="15" hidden="false" customHeight="false" outlineLevel="0" collapsed="false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 t="s">
        <v>657</v>
      </c>
      <c r="S79" s="73"/>
      <c r="T79" s="73"/>
      <c r="U79" s="73"/>
      <c r="V79" s="73" t="s">
        <v>338</v>
      </c>
      <c r="W79" s="238" t="n">
        <v>1</v>
      </c>
      <c r="X79" s="239" t="n">
        <f aca="false">W79*8/$T$70</f>
        <v>0.016</v>
      </c>
      <c r="Y79" s="73" t="n">
        <v>17.47</v>
      </c>
      <c r="Z79" s="219" t="n">
        <f aca="false">X79*Y79</f>
        <v>0.27952</v>
      </c>
      <c r="AA79" s="73"/>
    </row>
    <row r="80" customFormat="false" ht="15" hidden="false" customHeight="false" outlineLevel="0" collapsed="false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 t="s">
        <v>659</v>
      </c>
      <c r="S80" s="73"/>
      <c r="T80" s="73"/>
      <c r="U80" s="73"/>
      <c r="V80" s="73" t="s">
        <v>338</v>
      </c>
      <c r="W80" s="238" t="n">
        <v>1</v>
      </c>
      <c r="X80" s="239" t="n">
        <f aca="false">W80*8/$T$70</f>
        <v>0.016</v>
      </c>
      <c r="Y80" s="73" t="n">
        <v>136.06</v>
      </c>
      <c r="Z80" s="219" t="n">
        <f aca="false">X80*Y80</f>
        <v>2.17696</v>
      </c>
      <c r="AA80" s="73"/>
    </row>
    <row r="81" customFormat="false" ht="15" hidden="false" customHeight="false" outlineLevel="0" collapsed="false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 t="s">
        <v>660</v>
      </c>
      <c r="S81" s="246"/>
      <c r="T81" s="246"/>
      <c r="U81" s="246"/>
      <c r="V81" s="73" t="s">
        <v>338</v>
      </c>
      <c r="W81" s="238" t="n">
        <v>1</v>
      </c>
      <c r="X81" s="239" t="n">
        <f aca="false">W81*8/$T$70</f>
        <v>0.016</v>
      </c>
      <c r="Y81" s="73" t="n">
        <v>220.52</v>
      </c>
      <c r="Z81" s="219" t="n">
        <f aca="false">X81*Y81</f>
        <v>3.52832</v>
      </c>
      <c r="AA81" s="73"/>
    </row>
    <row r="82" customFormat="false" ht="15" hidden="false" customHeight="false" outlineLevel="0" collapsed="false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240" t="s">
        <v>672</v>
      </c>
      <c r="R82" s="240" t="s">
        <v>672</v>
      </c>
      <c r="S82" s="240" t="s">
        <v>672</v>
      </c>
      <c r="T82" s="240" t="s">
        <v>672</v>
      </c>
      <c r="U82" s="240" t="s">
        <v>672</v>
      </c>
      <c r="V82" s="240" t="s">
        <v>672</v>
      </c>
      <c r="W82" s="240" t="s">
        <v>672</v>
      </c>
      <c r="X82" s="240" t="s">
        <v>672</v>
      </c>
      <c r="Y82" s="243" t="s">
        <v>672</v>
      </c>
      <c r="Z82" s="241" t="n">
        <f aca="false">SUM(Z78:Z81)</f>
        <v>6.080688</v>
      </c>
      <c r="AA82" s="73"/>
    </row>
    <row r="83" customFormat="false" ht="15" hidden="false" customHeight="false" outlineLevel="0" collapsed="false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  <c r="AA83" s="73"/>
    </row>
    <row r="84" customFormat="false" ht="15" hidden="false" customHeight="false" outlineLevel="0" collapsed="false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234" t="s">
        <v>278</v>
      </c>
      <c r="R84" s="234"/>
      <c r="S84" s="234" t="s">
        <v>469</v>
      </c>
      <c r="T84" s="234"/>
      <c r="U84" s="234"/>
      <c r="V84" s="234"/>
      <c r="W84" s="73"/>
      <c r="X84" s="73"/>
      <c r="Y84" s="73"/>
      <c r="Z84" s="73"/>
      <c r="AA84" s="73"/>
    </row>
    <row r="85" customFormat="false" ht="15" hidden="false" customHeight="false" outlineLevel="0" collapsed="false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234" t="s">
        <v>279</v>
      </c>
      <c r="R85" s="234" t="s">
        <v>314</v>
      </c>
      <c r="S85" s="234" t="s">
        <v>281</v>
      </c>
      <c r="T85" s="236" t="n">
        <v>80</v>
      </c>
      <c r="U85" s="236" t="s">
        <v>282</v>
      </c>
      <c r="V85" s="236" t="n">
        <f aca="false">T85</f>
        <v>80</v>
      </c>
      <c r="W85" s="234" t="s">
        <v>283</v>
      </c>
      <c r="X85" s="234"/>
      <c r="Y85" s="234" t="s">
        <v>145</v>
      </c>
      <c r="Z85" s="235" t="n">
        <f aca="false">Z89+Z93</f>
        <v>12.11253</v>
      </c>
      <c r="AA85" s="73"/>
    </row>
    <row r="86" customFormat="false" ht="15" hidden="false" customHeight="false" outlineLevel="0" collapsed="false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234" t="s">
        <v>284</v>
      </c>
      <c r="R86" s="234" t="s">
        <v>285</v>
      </c>
      <c r="S86" s="234"/>
      <c r="T86" s="238"/>
      <c r="U86" s="238"/>
      <c r="V86" s="236" t="s">
        <v>123</v>
      </c>
      <c r="W86" s="234" t="s">
        <v>286</v>
      </c>
      <c r="X86" s="234" t="s">
        <v>287</v>
      </c>
      <c r="Y86" s="234" t="s">
        <v>288</v>
      </c>
      <c r="Z86" s="234" t="s">
        <v>289</v>
      </c>
      <c r="AA86" s="73"/>
    </row>
    <row r="87" customFormat="false" ht="15" hidden="false" customHeight="false" outlineLevel="0" collapsed="false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237" t="s">
        <v>290</v>
      </c>
      <c r="S87" s="73"/>
      <c r="T87" s="73"/>
      <c r="U87" s="73"/>
      <c r="V87" s="73"/>
      <c r="W87" s="73"/>
      <c r="X87" s="73"/>
      <c r="Y87" s="73"/>
      <c r="Z87" s="73"/>
      <c r="AA87" s="73"/>
    </row>
    <row r="88" customFormat="false" ht="15" hidden="false" customHeight="false" outlineLevel="0" collapsed="false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 t="s">
        <v>294</v>
      </c>
      <c r="S88" s="73"/>
      <c r="T88" s="73"/>
      <c r="U88" s="73"/>
      <c r="V88" s="73" t="s">
        <v>292</v>
      </c>
      <c r="W88" s="238" t="n">
        <v>1</v>
      </c>
      <c r="X88" s="239" t="n">
        <f aca="false">W88*8/$T$85</f>
        <v>0.1</v>
      </c>
      <c r="Y88" s="219" t="n">
        <v>20.51</v>
      </c>
      <c r="Z88" s="219" t="n">
        <f aca="false">X88*Y88</f>
        <v>2.051</v>
      </c>
      <c r="AA88" s="73"/>
    </row>
    <row r="89" customFormat="false" ht="15" hidden="false" customHeight="false" outlineLevel="0" collapsed="false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238"/>
      <c r="X89" s="239"/>
      <c r="Y89" s="219"/>
      <c r="Z89" s="235" t="n">
        <f aca="false">SUM(Z88)</f>
        <v>2.051</v>
      </c>
      <c r="AA89" s="73"/>
    </row>
    <row r="90" customFormat="false" ht="15" hidden="false" customHeight="false" outlineLevel="0" collapsed="false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237" t="s">
        <v>310</v>
      </c>
      <c r="S90" s="73"/>
      <c r="T90" s="73"/>
      <c r="U90" s="73"/>
      <c r="V90" s="73"/>
      <c r="W90" s="238"/>
      <c r="X90" s="239"/>
      <c r="Y90" s="219"/>
      <c r="Z90" s="219"/>
      <c r="AA90" s="73"/>
    </row>
    <row r="91" customFormat="false" ht="15" hidden="false" customHeight="false" outlineLevel="0" collapsed="false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 t="s">
        <v>311</v>
      </c>
      <c r="S91" s="73"/>
      <c r="T91" s="73"/>
      <c r="U91" s="73"/>
      <c r="V91" s="73" t="s">
        <v>312</v>
      </c>
      <c r="W91" s="238"/>
      <c r="X91" s="239" t="n">
        <v>3</v>
      </c>
      <c r="Y91" s="219" t="n">
        <f aca="false">Z89</f>
        <v>2.051</v>
      </c>
      <c r="Z91" s="219" t="n">
        <f aca="false">X91%*Y91</f>
        <v>0.06153</v>
      </c>
      <c r="AA91" s="73"/>
    </row>
    <row r="92" customFormat="false" ht="15" hidden="false" customHeight="false" outlineLevel="0" collapsed="false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 t="s">
        <v>661</v>
      </c>
      <c r="S92" s="73"/>
      <c r="T92" s="73"/>
      <c r="U92" s="73"/>
      <c r="V92" s="73" t="s">
        <v>338</v>
      </c>
      <c r="W92" s="238" t="n">
        <v>1</v>
      </c>
      <c r="X92" s="239" t="n">
        <f aca="false">W92*8/$T$85</f>
        <v>0.1</v>
      </c>
      <c r="Y92" s="219" t="n">
        <v>100</v>
      </c>
      <c r="Z92" s="219" t="n">
        <f aca="false">X92*Y92</f>
        <v>10</v>
      </c>
      <c r="AA92" s="73"/>
    </row>
    <row r="93" customFormat="false" ht="15" hidden="false" customHeight="false" outlineLevel="0" collapsed="false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240" t="s">
        <v>672</v>
      </c>
      <c r="R93" s="240" t="s">
        <v>672</v>
      </c>
      <c r="S93" s="240" t="s">
        <v>672</v>
      </c>
      <c r="T93" s="240" t="s">
        <v>672</v>
      </c>
      <c r="U93" s="240" t="s">
        <v>672</v>
      </c>
      <c r="V93" s="240" t="s">
        <v>672</v>
      </c>
      <c r="W93" s="240" t="s">
        <v>672</v>
      </c>
      <c r="X93" s="240" t="s">
        <v>672</v>
      </c>
      <c r="Y93" s="241" t="s">
        <v>672</v>
      </c>
      <c r="Z93" s="241" t="n">
        <f aca="false">SUM(Z91:Z92)</f>
        <v>10.06153</v>
      </c>
      <c r="AA93" s="73"/>
    </row>
    <row r="94" customFormat="false" ht="15" hidden="false" customHeight="false" outlineLevel="0" collapsed="false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</row>
    <row r="95" customFormat="false" ht="15" hidden="false" customHeight="false" outlineLevel="0" collapsed="false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234" t="s">
        <v>278</v>
      </c>
      <c r="R95" s="234"/>
      <c r="S95" s="234" t="s">
        <v>471</v>
      </c>
      <c r="T95" s="234"/>
      <c r="U95" s="234"/>
      <c r="V95" s="234"/>
      <c r="W95" s="234"/>
      <c r="X95" s="73"/>
      <c r="Y95" s="73"/>
      <c r="Z95" s="73"/>
      <c r="AA95" s="73"/>
    </row>
    <row r="96" customFormat="false" ht="15" hidden="false" customHeight="false" outlineLevel="0" collapsed="false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234" t="s">
        <v>279</v>
      </c>
      <c r="R96" s="234" t="s">
        <v>417</v>
      </c>
      <c r="S96" s="234" t="s">
        <v>281</v>
      </c>
      <c r="T96" s="236" t="n">
        <v>187.5</v>
      </c>
      <c r="U96" s="236" t="s">
        <v>282</v>
      </c>
      <c r="V96" s="236" t="n">
        <f aca="false">T96</f>
        <v>187.5</v>
      </c>
      <c r="W96" s="234" t="s">
        <v>283</v>
      </c>
      <c r="X96" s="234"/>
      <c r="Y96" s="234" t="s">
        <v>204</v>
      </c>
      <c r="Z96" s="235" t="n">
        <f aca="false">Z101+Z106</f>
        <v>22.9100074666667</v>
      </c>
      <c r="AA96" s="73"/>
    </row>
    <row r="97" customFormat="false" ht="15" hidden="false" customHeight="false" outlineLevel="0" collapsed="false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234" t="s">
        <v>284</v>
      </c>
      <c r="R97" s="234" t="s">
        <v>285</v>
      </c>
      <c r="S97" s="234"/>
      <c r="T97" s="73"/>
      <c r="U97" s="73"/>
      <c r="V97" s="234" t="s">
        <v>123</v>
      </c>
      <c r="W97" s="234" t="s">
        <v>286</v>
      </c>
      <c r="X97" s="234" t="s">
        <v>287</v>
      </c>
      <c r="Y97" s="234" t="s">
        <v>288</v>
      </c>
      <c r="Z97" s="234" t="s">
        <v>289</v>
      </c>
      <c r="AA97" s="73"/>
    </row>
    <row r="98" customFormat="false" ht="15" hidden="false" customHeight="false" outlineLevel="0" collapsed="false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237" t="s">
        <v>290</v>
      </c>
      <c r="S98" s="73"/>
      <c r="T98" s="73"/>
      <c r="U98" s="73"/>
      <c r="V98" s="73"/>
      <c r="W98" s="73"/>
      <c r="X98" s="73"/>
      <c r="Y98" s="73"/>
      <c r="Z98" s="73"/>
      <c r="AA98" s="73"/>
    </row>
    <row r="99" customFormat="false" ht="15" hidden="false" customHeight="false" outlineLevel="0" collapsed="false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 t="s">
        <v>293</v>
      </c>
      <c r="S99" s="73"/>
      <c r="T99" s="73"/>
      <c r="U99" s="73"/>
      <c r="V99" s="73" t="s">
        <v>292</v>
      </c>
      <c r="W99" s="238" t="n">
        <v>1</v>
      </c>
      <c r="X99" s="239" t="n">
        <f aca="false">W99*8/$T$96</f>
        <v>0.0426666666666667</v>
      </c>
      <c r="Y99" s="73" t="n">
        <v>23.6</v>
      </c>
      <c r="Z99" s="219" t="n">
        <f aca="false">X99*Y99</f>
        <v>1.00693333333333</v>
      </c>
      <c r="AA99" s="73"/>
    </row>
    <row r="100" customFormat="false" ht="15" hidden="false" customHeight="false" outlineLevel="0" collapsed="false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 t="s">
        <v>294</v>
      </c>
      <c r="S100" s="73"/>
      <c r="T100" s="73"/>
      <c r="U100" s="73"/>
      <c r="V100" s="73" t="s">
        <v>292</v>
      </c>
      <c r="W100" s="238" t="n">
        <v>1</v>
      </c>
      <c r="X100" s="239" t="n">
        <f aca="false">W100*8/$T$96</f>
        <v>0.0426666666666667</v>
      </c>
      <c r="Y100" s="73" t="n">
        <v>20.51</v>
      </c>
      <c r="Z100" s="219" t="n">
        <f aca="false">X100*Y100</f>
        <v>0.875093333333333</v>
      </c>
      <c r="AA100" s="73"/>
    </row>
    <row r="101" customFormat="false" ht="15" hidden="false" customHeight="false" outlineLevel="0" collapsed="false">
      <c r="A101" s="73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238"/>
      <c r="X101" s="239"/>
      <c r="Y101" s="73"/>
      <c r="Z101" s="235" t="n">
        <f aca="false">SUM(Z99:Z100)</f>
        <v>1.88202666666667</v>
      </c>
      <c r="AA101" s="73"/>
    </row>
    <row r="102" customFormat="false" ht="15" hidden="false" customHeight="false" outlineLevel="0" collapsed="false">
      <c r="A102" s="73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237" t="s">
        <v>310</v>
      </c>
      <c r="S102" s="73"/>
      <c r="T102" s="73"/>
      <c r="U102" s="73"/>
      <c r="V102" s="73"/>
      <c r="W102" s="238"/>
      <c r="X102" s="239"/>
      <c r="Y102" s="73"/>
      <c r="Z102" s="73"/>
      <c r="AA102" s="73"/>
    </row>
    <row r="103" customFormat="false" ht="15" hidden="false" customHeight="false" outlineLevel="0" collapsed="false">
      <c r="A103" s="73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73" t="s">
        <v>311</v>
      </c>
      <c r="S103" s="73"/>
      <c r="T103" s="73"/>
      <c r="U103" s="73"/>
      <c r="V103" s="73" t="s">
        <v>312</v>
      </c>
      <c r="W103" s="238"/>
      <c r="X103" s="239" t="n">
        <v>3</v>
      </c>
      <c r="Y103" s="219" t="n">
        <f aca="false">Z101</f>
        <v>1.88202666666667</v>
      </c>
      <c r="Z103" s="219" t="n">
        <f aca="false">X103%*Y103</f>
        <v>0.0564608</v>
      </c>
      <c r="AA103" s="73"/>
    </row>
    <row r="104" customFormat="false" ht="15" hidden="false" customHeight="false" outlineLevel="0" collapsed="false">
      <c r="A104" s="73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73" t="s">
        <v>662</v>
      </c>
      <c r="S104" s="73"/>
      <c r="T104" s="73"/>
      <c r="U104" s="73"/>
      <c r="V104" s="73" t="s">
        <v>338</v>
      </c>
      <c r="W104" s="238" t="n">
        <v>1</v>
      </c>
      <c r="X104" s="239" t="n">
        <f aca="false">W104*8/$T$96</f>
        <v>0.0426666666666667</v>
      </c>
      <c r="Y104" s="244" t="n">
        <v>118.64</v>
      </c>
      <c r="Z104" s="219" t="n">
        <f aca="false">X104*Y104</f>
        <v>5.06197333333333</v>
      </c>
      <c r="AA104" s="73"/>
    </row>
    <row r="105" customFormat="false" ht="15" hidden="false" customHeight="false" outlineLevel="0" collapsed="false">
      <c r="A105" s="73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 t="s">
        <v>663</v>
      </c>
      <c r="S105" s="73"/>
      <c r="T105" s="73"/>
      <c r="U105" s="73"/>
      <c r="V105" s="73" t="s">
        <v>338</v>
      </c>
      <c r="W105" s="238" t="n">
        <v>2</v>
      </c>
      <c r="X105" s="239" t="n">
        <f aca="false">W105*8/$T$96</f>
        <v>0.0853333333333333</v>
      </c>
      <c r="Y105" s="244" t="n">
        <v>186.44</v>
      </c>
      <c r="Z105" s="219" t="n">
        <f aca="false">X105*Y105</f>
        <v>15.9095466666667</v>
      </c>
      <c r="AA105" s="73"/>
    </row>
    <row r="106" customFormat="false" ht="15" hidden="false" customHeight="false" outlineLevel="0" collapsed="false">
      <c r="A106" s="73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240" t="s">
        <v>672</v>
      </c>
      <c r="R106" s="240" t="s">
        <v>672</v>
      </c>
      <c r="S106" s="240" t="s">
        <v>672</v>
      </c>
      <c r="T106" s="240" t="s">
        <v>672</v>
      </c>
      <c r="U106" s="240" t="s">
        <v>672</v>
      </c>
      <c r="V106" s="240" t="s">
        <v>672</v>
      </c>
      <c r="W106" s="240" t="s">
        <v>672</v>
      </c>
      <c r="X106" s="240" t="s">
        <v>672</v>
      </c>
      <c r="Y106" s="243" t="s">
        <v>672</v>
      </c>
      <c r="Z106" s="241" t="n">
        <f aca="false">SUM(Z103:Z105)</f>
        <v>21.0279808</v>
      </c>
      <c r="AA106" s="73"/>
    </row>
    <row r="107" customFormat="false" ht="15" hidden="false" customHeight="false" outlineLevel="0" collapsed="false">
      <c r="A107" s="73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  <c r="AA107" s="73"/>
    </row>
    <row r="108" customFormat="false" ht="15" hidden="false" customHeight="false" outlineLevel="0" collapsed="false">
      <c r="A108" s="73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83" t="s">
        <v>278</v>
      </c>
      <c r="R108" s="83"/>
      <c r="S108" s="83" t="s">
        <v>480</v>
      </c>
      <c r="T108" s="83"/>
      <c r="U108" s="83"/>
      <c r="V108" s="83"/>
      <c r="W108" s="83"/>
      <c r="X108" s="83"/>
      <c r="Y108" s="73"/>
      <c r="Z108" s="73"/>
      <c r="AA108" s="73"/>
    </row>
    <row r="109" customFormat="false" ht="15" hidden="false" customHeight="false" outlineLevel="0" collapsed="false">
      <c r="A109" s="73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83" t="s">
        <v>279</v>
      </c>
      <c r="R109" s="83" t="s">
        <v>280</v>
      </c>
      <c r="S109" s="83" t="s">
        <v>281</v>
      </c>
      <c r="T109" s="90" t="n">
        <v>50</v>
      </c>
      <c r="U109" s="90" t="s">
        <v>282</v>
      </c>
      <c r="V109" s="90" t="n">
        <f aca="false">T109</f>
        <v>50</v>
      </c>
      <c r="W109" s="83" t="s">
        <v>283</v>
      </c>
      <c r="X109" s="83"/>
      <c r="Y109" s="83" t="s">
        <v>134</v>
      </c>
      <c r="Z109" s="91" t="n">
        <f aca="false">Z117+Z124+Z128</f>
        <v>238.3435744</v>
      </c>
      <c r="AA109" s="73"/>
    </row>
    <row r="110" customFormat="false" ht="15" hidden="false" customHeight="false" outlineLevel="0" collapsed="false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83" t="s">
        <v>284</v>
      </c>
      <c r="R110" s="83" t="s">
        <v>285</v>
      </c>
      <c r="S110" s="83"/>
      <c r="T110" s="73"/>
      <c r="U110" s="73"/>
      <c r="V110" s="83" t="s">
        <v>123</v>
      </c>
      <c r="W110" s="83" t="s">
        <v>286</v>
      </c>
      <c r="X110" s="83" t="s">
        <v>287</v>
      </c>
      <c r="Y110" s="83" t="s">
        <v>288</v>
      </c>
      <c r="Z110" s="83" t="s">
        <v>289</v>
      </c>
      <c r="AA110" s="73"/>
    </row>
    <row r="111" customFormat="false" ht="15" hidden="false" customHeight="false" outlineLevel="0" collapsed="false">
      <c r="A111" s="73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93" t="s">
        <v>290</v>
      </c>
      <c r="S111" s="73"/>
      <c r="T111" s="73"/>
      <c r="U111" s="73"/>
      <c r="V111" s="73"/>
      <c r="W111" s="73"/>
      <c r="X111" s="73"/>
      <c r="Y111" s="73"/>
      <c r="Z111" s="73"/>
      <c r="AA111" s="73"/>
    </row>
    <row r="112" customFormat="false" ht="15" hidden="false" customHeight="false" outlineLevel="0" collapsed="false">
      <c r="A112" s="73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 t="s">
        <v>651</v>
      </c>
      <c r="S112" s="73"/>
      <c r="T112" s="73"/>
      <c r="U112" s="73"/>
      <c r="V112" s="73" t="s">
        <v>292</v>
      </c>
      <c r="W112" s="238" t="n">
        <v>0.1</v>
      </c>
      <c r="X112" s="239" t="n">
        <f aca="false">W112*8/$T$109</f>
        <v>0.016</v>
      </c>
      <c r="Y112" s="219" t="n">
        <v>34.73</v>
      </c>
      <c r="Z112" s="219" t="n">
        <f aca="false">X112*Y112</f>
        <v>0.55568</v>
      </c>
      <c r="AA112" s="73"/>
    </row>
    <row r="113" customFormat="false" ht="15" hidden="false" customHeight="false" outlineLevel="0" collapsed="false">
      <c r="A113" s="73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 t="s">
        <v>291</v>
      </c>
      <c r="S113" s="73"/>
      <c r="T113" s="73"/>
      <c r="U113" s="73"/>
      <c r="V113" s="73" t="s">
        <v>292</v>
      </c>
      <c r="W113" s="238" t="n">
        <v>1</v>
      </c>
      <c r="X113" s="239" t="n">
        <f aca="false">W113*8/$T$109</f>
        <v>0.16</v>
      </c>
      <c r="Y113" s="219" t="n">
        <v>28.94</v>
      </c>
      <c r="Z113" s="219" t="n">
        <f aca="false">X113*Y113</f>
        <v>4.6304</v>
      </c>
      <c r="AA113" s="73"/>
    </row>
    <row r="114" customFormat="false" ht="15" hidden="false" customHeight="false" outlineLevel="0" collapsed="false">
      <c r="A114" s="73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 t="s">
        <v>293</v>
      </c>
      <c r="S114" s="73"/>
      <c r="T114" s="73"/>
      <c r="U114" s="73"/>
      <c r="V114" s="73" t="s">
        <v>292</v>
      </c>
      <c r="W114" s="238" t="n">
        <v>2</v>
      </c>
      <c r="X114" s="239" t="n">
        <f aca="false">W114*8/$T$109</f>
        <v>0.32</v>
      </c>
      <c r="Y114" s="219" t="n">
        <v>23.6</v>
      </c>
      <c r="Z114" s="219" t="n">
        <f aca="false">X114*Y114</f>
        <v>7.552</v>
      </c>
      <c r="AA114" s="73"/>
    </row>
    <row r="115" customFormat="false" ht="15" hidden="false" customHeight="false" outlineLevel="0" collapsed="false">
      <c r="A115" s="73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 t="s">
        <v>294</v>
      </c>
      <c r="S115" s="73"/>
      <c r="T115" s="73"/>
      <c r="U115" s="73"/>
      <c r="V115" s="73" t="s">
        <v>292</v>
      </c>
      <c r="W115" s="238" t="n">
        <v>5</v>
      </c>
      <c r="X115" s="239" t="n">
        <f aca="false">W115*8/$T$109</f>
        <v>0.8</v>
      </c>
      <c r="Y115" s="219" t="n">
        <v>21.36</v>
      </c>
      <c r="Z115" s="219" t="n">
        <f aca="false">X115*Y115</f>
        <v>17.088</v>
      </c>
      <c r="AA115" s="73"/>
    </row>
    <row r="116" customFormat="false" ht="15" hidden="false" customHeight="false" outlineLevel="0" collapsed="false">
      <c r="A116" s="73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 t="s">
        <v>653</v>
      </c>
      <c r="S116" s="73"/>
      <c r="T116" s="73"/>
      <c r="U116" s="73"/>
      <c r="V116" s="73" t="s">
        <v>292</v>
      </c>
      <c r="W116" s="238" t="n">
        <v>1</v>
      </c>
      <c r="X116" s="239" t="n">
        <f aca="false">W116*8/$T$109</f>
        <v>0.16</v>
      </c>
      <c r="Y116" s="219" t="n">
        <v>29.94</v>
      </c>
      <c r="Z116" s="219" t="n">
        <f aca="false">X116*Y116</f>
        <v>4.7904</v>
      </c>
      <c r="AA116" s="73"/>
    </row>
    <row r="117" customFormat="false" ht="15" hidden="false" customHeight="false" outlineLevel="0" collapsed="false">
      <c r="A117" s="73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238"/>
      <c r="X117" s="239"/>
      <c r="Y117" s="219"/>
      <c r="Z117" s="91" t="n">
        <f aca="false">SUM(Z112:Z116)</f>
        <v>34.61648</v>
      </c>
      <c r="AA117" s="73"/>
    </row>
    <row r="118" customFormat="false" ht="15" hidden="false" customHeight="false" outlineLevel="0" collapsed="false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93" t="s">
        <v>654</v>
      </c>
      <c r="S118" s="73"/>
      <c r="T118" s="73"/>
      <c r="U118" s="73"/>
      <c r="V118" s="73"/>
      <c r="W118" s="238"/>
      <c r="X118" s="239"/>
      <c r="Y118" s="219"/>
      <c r="Z118" s="219"/>
      <c r="AA118" s="73"/>
    </row>
    <row r="119" customFormat="false" ht="15" hidden="false" customHeight="false" outlineLevel="0" collapsed="false">
      <c r="A119" s="73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 t="s">
        <v>307</v>
      </c>
      <c r="S119" s="73"/>
      <c r="T119" s="73"/>
      <c r="U119" s="73"/>
      <c r="V119" s="73" t="s">
        <v>308</v>
      </c>
      <c r="W119" s="238"/>
      <c r="X119" s="239" t="n">
        <v>3.8</v>
      </c>
      <c r="Y119" s="219" t="n">
        <v>24.52</v>
      </c>
      <c r="Z119" s="219" t="n">
        <f aca="false">X119*Y119</f>
        <v>93.176</v>
      </c>
      <c r="AA119" s="73"/>
    </row>
    <row r="120" customFormat="false" ht="15" hidden="false" customHeight="false" outlineLevel="0" collapsed="false">
      <c r="A120" s="73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 t="s">
        <v>656</v>
      </c>
      <c r="S120" s="73"/>
      <c r="T120" s="73"/>
      <c r="U120" s="73"/>
      <c r="V120" s="73" t="s">
        <v>204</v>
      </c>
      <c r="W120" s="238"/>
      <c r="X120" s="239" t="n">
        <v>0.08</v>
      </c>
      <c r="Y120" s="219" t="n">
        <v>6.14</v>
      </c>
      <c r="Z120" s="219" t="n">
        <f aca="false">X120*Y120</f>
        <v>0.4912</v>
      </c>
      <c r="AA120" s="73"/>
    </row>
    <row r="121" customFormat="false" ht="15" hidden="false" customHeight="false" outlineLevel="0" collapsed="false">
      <c r="A121" s="73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 t="s">
        <v>666</v>
      </c>
      <c r="S121" s="73"/>
      <c r="T121" s="73"/>
      <c r="U121" s="73"/>
      <c r="V121" s="73" t="s">
        <v>440</v>
      </c>
      <c r="W121" s="238"/>
      <c r="X121" s="239" t="n">
        <v>0.5</v>
      </c>
      <c r="Y121" s="219" t="n">
        <v>13.93</v>
      </c>
      <c r="Z121" s="219" t="n">
        <f aca="false">X121*Y121</f>
        <v>6.965</v>
      </c>
      <c r="AA121" s="73"/>
    </row>
    <row r="122" customFormat="false" ht="15" hidden="false" customHeight="false" outlineLevel="0" collapsed="false">
      <c r="A122" s="73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 t="s">
        <v>303</v>
      </c>
      <c r="S122" s="73"/>
      <c r="T122" s="73"/>
      <c r="U122" s="73"/>
      <c r="V122" s="73" t="s">
        <v>204</v>
      </c>
      <c r="W122" s="238"/>
      <c r="X122" s="239" t="n">
        <v>0.93</v>
      </c>
      <c r="Y122" s="247" t="n">
        <v>70.92</v>
      </c>
      <c r="Z122" s="219" t="n">
        <f aca="false">X122*Y122</f>
        <v>65.9556</v>
      </c>
      <c r="AA122" s="73"/>
    </row>
    <row r="123" customFormat="false" ht="15" hidden="false" customHeight="false" outlineLevel="0" collapsed="false">
      <c r="A123" s="73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 t="s">
        <v>667</v>
      </c>
      <c r="S123" s="73"/>
      <c r="T123" s="73"/>
      <c r="U123" s="73"/>
      <c r="V123" s="73" t="s">
        <v>204</v>
      </c>
      <c r="W123" s="238"/>
      <c r="X123" s="239" t="n">
        <v>0.4</v>
      </c>
      <c r="Y123" s="247" t="n">
        <v>80</v>
      </c>
      <c r="Z123" s="219" t="n">
        <f aca="false">X123*Y123</f>
        <v>32</v>
      </c>
      <c r="AA123" s="73"/>
    </row>
    <row r="124" customFormat="false" ht="15" hidden="false" customHeight="false" outlineLevel="0" collapsed="false">
      <c r="A124" s="73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238"/>
      <c r="X124" s="239"/>
      <c r="Y124" s="219"/>
      <c r="Z124" s="91" t="n">
        <f aca="false">SUM(Z119:Z123)</f>
        <v>198.5878</v>
      </c>
      <c r="AA124" s="73"/>
    </row>
    <row r="125" customFormat="false" ht="15" hidden="false" customHeight="false" outlineLevel="0" collapsed="false">
      <c r="A125" s="73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93" t="s">
        <v>310</v>
      </c>
      <c r="S125" s="73"/>
      <c r="T125" s="73"/>
      <c r="U125" s="73"/>
      <c r="V125" s="73"/>
      <c r="W125" s="238"/>
      <c r="X125" s="239"/>
      <c r="Y125" s="219"/>
      <c r="Z125" s="219"/>
      <c r="AA125" s="73"/>
    </row>
    <row r="126" customFormat="false" ht="15" hidden="false" customHeight="false" outlineLevel="0" collapsed="false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 t="s">
        <v>311</v>
      </c>
      <c r="S126" s="73"/>
      <c r="T126" s="73"/>
      <c r="U126" s="73"/>
      <c r="V126" s="73" t="s">
        <v>312</v>
      </c>
      <c r="W126" s="238"/>
      <c r="X126" s="239" t="n">
        <v>3</v>
      </c>
      <c r="Y126" s="219" t="n">
        <f aca="false">Z117</f>
        <v>34.61648</v>
      </c>
      <c r="Z126" s="219" t="n">
        <f aca="false">X126%*Y126</f>
        <v>1.0384944</v>
      </c>
      <c r="AA126" s="73"/>
    </row>
    <row r="127" customFormat="false" ht="15" hidden="false" customHeight="false" outlineLevel="0" collapsed="false">
      <c r="A127" s="73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 t="s">
        <v>668</v>
      </c>
      <c r="S127" s="73"/>
      <c r="T127" s="73"/>
      <c r="U127" s="73"/>
      <c r="V127" s="73" t="s">
        <v>338</v>
      </c>
      <c r="W127" s="238" t="n">
        <v>1</v>
      </c>
      <c r="X127" s="239" t="n">
        <f aca="false">W127*8/$T$109</f>
        <v>0.16</v>
      </c>
      <c r="Y127" s="219" t="n">
        <v>25.63</v>
      </c>
      <c r="Z127" s="219" t="n">
        <f aca="false">X127*Y127</f>
        <v>4.1008</v>
      </c>
      <c r="AA127" s="73"/>
    </row>
    <row r="128" customFormat="false" ht="15" hidden="false" customHeight="false" outlineLevel="0" collapsed="false">
      <c r="A128" s="73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240" t="s">
        <v>672</v>
      </c>
      <c r="R128" s="240" t="s">
        <v>672</v>
      </c>
      <c r="S128" s="240" t="s">
        <v>672</v>
      </c>
      <c r="T128" s="240" t="s">
        <v>672</v>
      </c>
      <c r="U128" s="240" t="s">
        <v>672</v>
      </c>
      <c r="V128" s="240" t="s">
        <v>672</v>
      </c>
      <c r="W128" s="240" t="s">
        <v>672</v>
      </c>
      <c r="X128" s="240" t="s">
        <v>672</v>
      </c>
      <c r="Y128" s="248" t="s">
        <v>672</v>
      </c>
      <c r="Z128" s="98" t="n">
        <f aca="false">SUM(Z126:Z127)</f>
        <v>5.1392944</v>
      </c>
      <c r="AA128" s="73"/>
    </row>
    <row r="129" customFormat="false" ht="15" hidden="false" customHeight="false" outlineLevel="0" collapsed="false">
      <c r="A129" s="73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  <c r="AA129" s="73"/>
    </row>
    <row r="130" customFormat="false" ht="15" hidden="false" customHeight="false" outlineLevel="0" collapsed="false">
      <c r="A130" s="73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  <c r="AA130" s="73"/>
    </row>
    <row r="131" customFormat="false" ht="15" hidden="false" customHeight="false" outlineLevel="0" collapsed="false">
      <c r="A131" s="73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  <c r="AA131" s="73"/>
    </row>
    <row r="132" customFormat="false" ht="15" hidden="false" customHeight="false" outlineLevel="0" collapsed="false">
      <c r="A132" s="73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  <c r="AA132" s="73"/>
    </row>
    <row r="133" customFormat="false" ht="15" hidden="false" customHeight="false" outlineLevel="0" collapsed="false">
      <c r="A133" s="73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  <c r="AA133" s="73"/>
    </row>
    <row r="134" customFormat="false" ht="15" hidden="false" customHeight="false" outlineLevel="0" collapsed="false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83" t="s">
        <v>278</v>
      </c>
      <c r="R134" s="83"/>
      <c r="S134" s="83" t="s">
        <v>669</v>
      </c>
      <c r="T134" s="83"/>
      <c r="U134" s="83"/>
      <c r="V134" s="73"/>
      <c r="W134" s="73"/>
      <c r="X134" s="73"/>
      <c r="Y134" s="73"/>
      <c r="Z134" s="73"/>
      <c r="AA134" s="73"/>
    </row>
    <row r="135" customFormat="false" ht="15" hidden="false" customHeight="false" outlineLevel="0" collapsed="false">
      <c r="A135" s="73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83" t="s">
        <v>279</v>
      </c>
      <c r="R135" s="83" t="s">
        <v>280</v>
      </c>
      <c r="S135" s="83" t="s">
        <v>281</v>
      </c>
      <c r="T135" s="90" t="n">
        <v>110</v>
      </c>
      <c r="U135" s="90" t="s">
        <v>282</v>
      </c>
      <c r="V135" s="90" t="n">
        <f aca="false">T135</f>
        <v>110</v>
      </c>
      <c r="W135" s="90" t="s">
        <v>283</v>
      </c>
      <c r="X135" s="83"/>
      <c r="Y135" s="83" t="s">
        <v>134</v>
      </c>
      <c r="Z135" s="91" t="n">
        <f aca="false">Z141+Z147+Z151</f>
        <v>39.6208818181818</v>
      </c>
      <c r="AA135" s="73"/>
    </row>
    <row r="136" customFormat="false" ht="15" hidden="false" customHeight="false" outlineLevel="0" collapsed="false">
      <c r="A136" s="73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83" t="s">
        <v>284</v>
      </c>
      <c r="R136" s="83" t="s">
        <v>285</v>
      </c>
      <c r="S136" s="83"/>
      <c r="T136" s="238"/>
      <c r="U136" s="238"/>
      <c r="V136" s="90" t="s">
        <v>123</v>
      </c>
      <c r="W136" s="90" t="s">
        <v>286</v>
      </c>
      <c r="X136" s="83" t="s">
        <v>287</v>
      </c>
      <c r="Y136" s="83" t="s">
        <v>288</v>
      </c>
      <c r="Z136" s="83" t="s">
        <v>289</v>
      </c>
      <c r="AA136" s="73"/>
    </row>
    <row r="137" customFormat="false" ht="15" hidden="false" customHeight="false" outlineLevel="0" collapsed="false">
      <c r="A137" s="73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93" t="s">
        <v>290</v>
      </c>
      <c r="S137" s="73"/>
      <c r="T137" s="238"/>
      <c r="U137" s="238"/>
      <c r="V137" s="238"/>
      <c r="W137" s="238"/>
      <c r="X137" s="73"/>
      <c r="Y137" s="73"/>
      <c r="Z137" s="73"/>
      <c r="AA137" s="73"/>
    </row>
    <row r="138" customFormat="false" ht="15" hidden="false" customHeight="false" outlineLevel="0" collapsed="false">
      <c r="A138" s="73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 t="s">
        <v>291</v>
      </c>
      <c r="S138" s="73"/>
      <c r="T138" s="238"/>
      <c r="U138" s="238"/>
      <c r="V138" s="238" t="s">
        <v>292</v>
      </c>
      <c r="W138" s="238" t="n">
        <v>2</v>
      </c>
      <c r="X138" s="239" t="n">
        <f aca="false">W138*8/$T$135</f>
        <v>0.145454545454545</v>
      </c>
      <c r="Y138" s="73" t="n">
        <v>28.94</v>
      </c>
      <c r="Z138" s="219" t="n">
        <f aca="false">X138*Y138</f>
        <v>4.20945454545455</v>
      </c>
      <c r="AA138" s="73"/>
    </row>
    <row r="139" customFormat="false" ht="15" hidden="false" customHeight="false" outlineLevel="0" collapsed="false">
      <c r="A139" s="73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73" t="s">
        <v>293</v>
      </c>
      <c r="S139" s="73"/>
      <c r="T139" s="238"/>
      <c r="U139" s="238"/>
      <c r="V139" s="238" t="s">
        <v>292</v>
      </c>
      <c r="W139" s="238" t="n">
        <v>1</v>
      </c>
      <c r="X139" s="239" t="n">
        <f aca="false">W139*8/$T$135</f>
        <v>0.0727272727272727</v>
      </c>
      <c r="Y139" s="73" t="n">
        <v>23.6</v>
      </c>
      <c r="Z139" s="219" t="n">
        <f aca="false">X139*Y139</f>
        <v>1.71636363636364</v>
      </c>
      <c r="AA139" s="73"/>
    </row>
    <row r="140" customFormat="false" ht="15" hidden="false" customHeight="false" outlineLevel="0" collapsed="false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73" t="s">
        <v>294</v>
      </c>
      <c r="S140" s="73"/>
      <c r="T140" s="238"/>
      <c r="U140" s="238"/>
      <c r="V140" s="238" t="s">
        <v>292</v>
      </c>
      <c r="W140" s="238" t="n">
        <v>6</v>
      </c>
      <c r="X140" s="239" t="n">
        <f aca="false">W140*8/$T$135</f>
        <v>0.436363636363636</v>
      </c>
      <c r="Y140" s="73" t="n">
        <v>21.36</v>
      </c>
      <c r="Z140" s="219" t="n">
        <f aca="false">X140*Y140</f>
        <v>9.32072727272727</v>
      </c>
      <c r="AA140" s="73"/>
    </row>
    <row r="141" customFormat="false" ht="15" hidden="false" customHeight="false" outlineLevel="0" collapsed="false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73"/>
      <c r="S141" s="73"/>
      <c r="T141" s="238"/>
      <c r="U141" s="238"/>
      <c r="V141" s="238"/>
      <c r="W141" s="238"/>
      <c r="X141" s="239"/>
      <c r="Y141" s="73"/>
      <c r="Z141" s="91" t="n">
        <f aca="false">SUM(Z138:Z140)</f>
        <v>15.2465454545455</v>
      </c>
      <c r="AA141" s="73"/>
    </row>
    <row r="142" customFormat="false" ht="15" hidden="false" customHeight="false" outlineLevel="0" collapsed="false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93" t="s">
        <v>654</v>
      </c>
      <c r="S142" s="73"/>
      <c r="T142" s="238"/>
      <c r="U142" s="238"/>
      <c r="V142" s="238"/>
      <c r="W142" s="238"/>
      <c r="X142" s="239"/>
      <c r="Y142" s="73"/>
      <c r="Z142" s="73"/>
      <c r="AA142" s="73"/>
    </row>
    <row r="143" customFormat="false" ht="15" hidden="false" customHeight="false" outlineLevel="0" collapsed="false">
      <c r="A143" s="73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73" t="s">
        <v>307</v>
      </c>
      <c r="S143" s="73"/>
      <c r="T143" s="238"/>
      <c r="U143" s="238"/>
      <c r="V143" s="238" t="s">
        <v>308</v>
      </c>
      <c r="W143" s="238"/>
      <c r="X143" s="239" t="n">
        <v>0.42</v>
      </c>
      <c r="Y143" s="73" t="n">
        <v>24.52</v>
      </c>
      <c r="Z143" s="219" t="n">
        <f aca="false">X143*Y143</f>
        <v>10.2984</v>
      </c>
      <c r="AA143" s="73"/>
    </row>
    <row r="144" customFormat="false" ht="15" hidden="false" customHeight="false" outlineLevel="0" collapsed="false">
      <c r="A144" s="73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73" t="s">
        <v>656</v>
      </c>
      <c r="S144" s="73"/>
      <c r="T144" s="238"/>
      <c r="U144" s="238"/>
      <c r="V144" s="238" t="s">
        <v>204</v>
      </c>
      <c r="W144" s="238"/>
      <c r="X144" s="239" t="n">
        <v>0.025</v>
      </c>
      <c r="Y144" s="73" t="n">
        <v>6.14</v>
      </c>
      <c r="Z144" s="219" t="n">
        <f aca="false">X144*Y144</f>
        <v>0.1535</v>
      </c>
      <c r="AA144" s="73"/>
    </row>
    <row r="145" customFormat="false" ht="15" hidden="false" customHeight="false" outlineLevel="0" collapsed="false">
      <c r="A145" s="73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73" t="s">
        <v>303</v>
      </c>
      <c r="S145" s="73"/>
      <c r="T145" s="238"/>
      <c r="U145" s="238"/>
      <c r="V145" s="238" t="s">
        <v>204</v>
      </c>
      <c r="W145" s="238"/>
      <c r="X145" s="239" t="n">
        <v>0.162</v>
      </c>
      <c r="Y145" s="244" t="n">
        <v>70.92</v>
      </c>
      <c r="Z145" s="219" t="n">
        <f aca="false">X145*Y145</f>
        <v>11.48904</v>
      </c>
      <c r="AA145" s="73"/>
    </row>
    <row r="146" customFormat="false" ht="15" hidden="false" customHeight="false" outlineLevel="0" collapsed="false">
      <c r="A146" s="73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 t="s">
        <v>670</v>
      </c>
      <c r="S146" s="73"/>
      <c r="T146" s="238"/>
      <c r="U146" s="238"/>
      <c r="V146" s="238" t="s">
        <v>306</v>
      </c>
      <c r="W146" s="238"/>
      <c r="X146" s="239" t="n">
        <v>0.18</v>
      </c>
      <c r="Y146" s="219" t="n">
        <v>5.8</v>
      </c>
      <c r="Z146" s="219" t="n">
        <f aca="false">X146*Y146</f>
        <v>1.044</v>
      </c>
      <c r="AA146" s="73"/>
    </row>
    <row r="147" customFormat="false" ht="15" hidden="false" customHeight="false" outlineLevel="0" collapsed="false">
      <c r="A147" s="73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73"/>
      <c r="S147" s="73"/>
      <c r="T147" s="238"/>
      <c r="U147" s="238"/>
      <c r="V147" s="238"/>
      <c r="W147" s="238"/>
      <c r="X147" s="239"/>
      <c r="Y147" s="73"/>
      <c r="Z147" s="91" t="n">
        <f aca="false">SUM(Z143:Z146)</f>
        <v>22.98494</v>
      </c>
      <c r="AA147" s="73"/>
    </row>
    <row r="148" customFormat="false" ht="15" hidden="false" customHeight="false" outlineLevel="0" collapsed="false">
      <c r="A148" s="73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93" t="s">
        <v>310</v>
      </c>
      <c r="S148" s="73"/>
      <c r="T148" s="238"/>
      <c r="U148" s="238"/>
      <c r="V148" s="238"/>
      <c r="W148" s="238"/>
      <c r="X148" s="239"/>
      <c r="Y148" s="73"/>
      <c r="Z148" s="73"/>
      <c r="AA148" s="73"/>
    </row>
    <row r="149" customFormat="false" ht="15" hidden="false" customHeight="false" outlineLevel="0" collapsed="false">
      <c r="A149" s="73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73" t="s">
        <v>311</v>
      </c>
      <c r="S149" s="73"/>
      <c r="T149" s="238"/>
      <c r="U149" s="238"/>
      <c r="V149" s="238" t="s">
        <v>312</v>
      </c>
      <c r="W149" s="238"/>
      <c r="X149" s="239" t="n">
        <v>3</v>
      </c>
      <c r="Y149" s="219" t="n">
        <f aca="false">Z141</f>
        <v>15.2465454545455</v>
      </c>
      <c r="Z149" s="219" t="n">
        <f aca="false">X149%*Y149</f>
        <v>0.457396363636364</v>
      </c>
      <c r="AA149" s="73"/>
    </row>
    <row r="150" customFormat="false" ht="15" hidden="false" customHeight="false" outlineLevel="0" collapsed="false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 t="s">
        <v>668</v>
      </c>
      <c r="S150" s="73"/>
      <c r="T150" s="238"/>
      <c r="U150" s="238"/>
      <c r="V150" s="238" t="s">
        <v>338</v>
      </c>
      <c r="W150" s="238" t="n">
        <v>0.5</v>
      </c>
      <c r="X150" s="239" t="n">
        <f aca="false">W150*8/$T$135</f>
        <v>0.0363636363636364</v>
      </c>
      <c r="Y150" s="73" t="n">
        <v>25.63</v>
      </c>
      <c r="Z150" s="219" t="n">
        <f aca="false">X150*Y150</f>
        <v>0.932</v>
      </c>
      <c r="AA150" s="73"/>
    </row>
    <row r="151" customFormat="false" ht="15" hidden="false" customHeight="false" outlineLevel="0" collapsed="false">
      <c r="A151" s="73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240" t="s">
        <v>672</v>
      </c>
      <c r="R151" s="240" t="s">
        <v>672</v>
      </c>
      <c r="S151" s="240" t="s">
        <v>672</v>
      </c>
      <c r="T151" s="240" t="s">
        <v>672</v>
      </c>
      <c r="U151" s="240" t="s">
        <v>672</v>
      </c>
      <c r="V151" s="240" t="s">
        <v>672</v>
      </c>
      <c r="W151" s="240" t="s">
        <v>672</v>
      </c>
      <c r="X151" s="240" t="s">
        <v>672</v>
      </c>
      <c r="Y151" s="240" t="s">
        <v>672</v>
      </c>
      <c r="Z151" s="98" t="n">
        <f aca="false">SUM(Z149:Z150)</f>
        <v>1.38939636363636</v>
      </c>
      <c r="AA151" s="73"/>
    </row>
    <row r="152" customFormat="false" ht="15" hidden="false" customHeight="false" outlineLevel="0" collapsed="false">
      <c r="A152" s="73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  <c r="AA152" s="73"/>
    </row>
    <row r="153" customFormat="false" ht="15" hidden="false" customHeight="false" outlineLevel="0" collapsed="false">
      <c r="A153" s="73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83" t="s">
        <v>278</v>
      </c>
      <c r="R153" s="83"/>
      <c r="S153" s="83" t="s">
        <v>671</v>
      </c>
      <c r="T153" s="83"/>
      <c r="U153" s="83"/>
      <c r="V153" s="73"/>
      <c r="W153" s="73"/>
      <c r="X153" s="73"/>
      <c r="Y153" s="73"/>
      <c r="Z153" s="73"/>
      <c r="AA153" s="73"/>
    </row>
    <row r="154" customFormat="false" ht="15" hidden="false" customHeight="false" outlineLevel="0" collapsed="false">
      <c r="A154" s="73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83" t="s">
        <v>279</v>
      </c>
      <c r="R154" s="83" t="s">
        <v>280</v>
      </c>
      <c r="S154" s="83" t="s">
        <v>281</v>
      </c>
      <c r="T154" s="90" t="n">
        <v>120</v>
      </c>
      <c r="U154" s="90" t="s">
        <v>282</v>
      </c>
      <c r="V154" s="90" t="n">
        <f aca="false">T154</f>
        <v>120</v>
      </c>
      <c r="W154" s="90" t="s">
        <v>283</v>
      </c>
      <c r="X154" s="83"/>
      <c r="Y154" s="83" t="s">
        <v>134</v>
      </c>
      <c r="Z154" s="91" t="n">
        <f aca="false">Z160+Z166+Z170</f>
        <v>27.126394</v>
      </c>
      <c r="AA154" s="73"/>
    </row>
    <row r="155" customFormat="false" ht="15" hidden="false" customHeight="false" outlineLevel="0" collapsed="false">
      <c r="A155" s="73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83" t="s">
        <v>284</v>
      </c>
      <c r="R155" s="83" t="s">
        <v>285</v>
      </c>
      <c r="S155" s="83"/>
      <c r="T155" s="238"/>
      <c r="U155" s="238"/>
      <c r="V155" s="90" t="s">
        <v>123</v>
      </c>
      <c r="W155" s="90" t="s">
        <v>286</v>
      </c>
      <c r="X155" s="83" t="s">
        <v>287</v>
      </c>
      <c r="Y155" s="83" t="s">
        <v>288</v>
      </c>
      <c r="Z155" s="83" t="s">
        <v>289</v>
      </c>
      <c r="AA155" s="73"/>
    </row>
    <row r="156" customFormat="false" ht="15" hidden="false" customHeight="false" outlineLevel="0" collapsed="false">
      <c r="A156" s="73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93" t="s">
        <v>290</v>
      </c>
      <c r="S156" s="73"/>
      <c r="T156" s="238"/>
      <c r="U156" s="238"/>
      <c r="V156" s="238"/>
      <c r="W156" s="238"/>
      <c r="X156" s="73"/>
      <c r="Y156" s="73"/>
      <c r="Z156" s="73"/>
      <c r="AA156" s="73"/>
    </row>
    <row r="157" customFormat="false" ht="15" hidden="false" customHeight="false" outlineLevel="0" collapsed="false">
      <c r="A157" s="73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73" t="s">
        <v>291</v>
      </c>
      <c r="S157" s="73"/>
      <c r="T157" s="238"/>
      <c r="U157" s="238"/>
      <c r="V157" s="238" t="s">
        <v>292</v>
      </c>
      <c r="W157" s="238" t="n">
        <v>2</v>
      </c>
      <c r="X157" s="239" t="n">
        <f aca="false">W157*8/$T$154</f>
        <v>0.133333333333333</v>
      </c>
      <c r="Y157" s="73" t="n">
        <v>28.94</v>
      </c>
      <c r="Z157" s="219" t="n">
        <f aca="false">X157*Y157</f>
        <v>3.85866666666667</v>
      </c>
      <c r="AA157" s="73"/>
    </row>
    <row r="158" customFormat="false" ht="15" hidden="false" customHeight="false" outlineLevel="0" collapsed="false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 t="s">
        <v>293</v>
      </c>
      <c r="S158" s="73"/>
      <c r="T158" s="238"/>
      <c r="U158" s="238"/>
      <c r="V158" s="238" t="s">
        <v>292</v>
      </c>
      <c r="W158" s="238" t="n">
        <v>2</v>
      </c>
      <c r="X158" s="239" t="n">
        <f aca="false">W158*8/$T$154</f>
        <v>0.133333333333333</v>
      </c>
      <c r="Y158" s="73" t="n">
        <v>23.6</v>
      </c>
      <c r="Z158" s="219" t="n">
        <f aca="false">X158*Y158</f>
        <v>3.14666666666667</v>
      </c>
      <c r="AA158" s="73"/>
    </row>
    <row r="159" customFormat="false" ht="15" hidden="false" customHeight="false" outlineLevel="0" collapsed="false">
      <c r="A159" s="73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73" t="s">
        <v>294</v>
      </c>
      <c r="S159" s="73"/>
      <c r="T159" s="238"/>
      <c r="U159" s="238"/>
      <c r="V159" s="238" t="s">
        <v>292</v>
      </c>
      <c r="W159" s="238" t="n">
        <v>6</v>
      </c>
      <c r="X159" s="239" t="n">
        <f aca="false">W159*8/$T$154</f>
        <v>0.4</v>
      </c>
      <c r="Y159" s="73" t="n">
        <v>21.36</v>
      </c>
      <c r="Z159" s="219" t="n">
        <f aca="false">X159*Y159</f>
        <v>8.544</v>
      </c>
      <c r="AA159" s="73"/>
    </row>
    <row r="160" customFormat="false" ht="15" hidden="false" customHeight="false" outlineLevel="0" collapsed="false">
      <c r="A160" s="73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73"/>
      <c r="S160" s="73"/>
      <c r="T160" s="238"/>
      <c r="U160" s="238"/>
      <c r="V160" s="238"/>
      <c r="W160" s="238"/>
      <c r="X160" s="239"/>
      <c r="Y160" s="73"/>
      <c r="Z160" s="91" t="n">
        <f aca="false">SUM(Z157:Z159)</f>
        <v>15.5493333333333</v>
      </c>
      <c r="AA160" s="73"/>
    </row>
    <row r="161" customFormat="false" ht="15" hidden="false" customHeight="false" outlineLevel="0" collapsed="false">
      <c r="A161" s="73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93" t="s">
        <v>654</v>
      </c>
      <c r="S161" s="73"/>
      <c r="T161" s="238"/>
      <c r="U161" s="238"/>
      <c r="V161" s="238"/>
      <c r="W161" s="238"/>
      <c r="X161" s="239"/>
      <c r="Y161" s="73"/>
      <c r="Z161" s="73"/>
      <c r="AA161" s="73"/>
    </row>
    <row r="162" customFormat="false" ht="15" hidden="false" customHeight="false" outlineLevel="0" collapsed="false">
      <c r="A162" s="73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 t="s">
        <v>307</v>
      </c>
      <c r="S162" s="73"/>
      <c r="T162" s="238"/>
      <c r="U162" s="238"/>
      <c r="V162" s="238" t="s">
        <v>308</v>
      </c>
      <c r="W162" s="238"/>
      <c r="X162" s="239" t="n">
        <v>0.19</v>
      </c>
      <c r="Y162" s="73" t="n">
        <v>24.52</v>
      </c>
      <c r="Z162" s="219" t="n">
        <f aca="false">X162*Y162</f>
        <v>4.6588</v>
      </c>
      <c r="AA162" s="73"/>
    </row>
    <row r="163" customFormat="false" ht="15" hidden="false" customHeight="false" outlineLevel="0" collapsed="false">
      <c r="A163" s="73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73" t="s">
        <v>656</v>
      </c>
      <c r="S163" s="73"/>
      <c r="T163" s="238"/>
      <c r="U163" s="238"/>
      <c r="V163" s="238" t="s">
        <v>204</v>
      </c>
      <c r="W163" s="238"/>
      <c r="X163" s="239" t="n">
        <v>0.0081</v>
      </c>
      <c r="Y163" s="73" t="n">
        <v>6.14</v>
      </c>
      <c r="Z163" s="219" t="n">
        <f aca="false">X163*Y163</f>
        <v>0.049734</v>
      </c>
      <c r="AA163" s="73"/>
    </row>
    <row r="164" customFormat="false" ht="15" hidden="false" customHeight="false" outlineLevel="0" collapsed="false">
      <c r="A164" s="73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73" t="s">
        <v>666</v>
      </c>
      <c r="S164" s="73"/>
      <c r="T164" s="238"/>
      <c r="U164" s="238"/>
      <c r="V164" s="238" t="s">
        <v>440</v>
      </c>
      <c r="W164" s="238"/>
      <c r="X164" s="239" t="n">
        <v>0.006</v>
      </c>
      <c r="Y164" s="73" t="n">
        <v>13.93</v>
      </c>
      <c r="Z164" s="219" t="n">
        <f aca="false">X164*Y164</f>
        <v>0.08358</v>
      </c>
      <c r="AA164" s="73"/>
    </row>
    <row r="165" customFormat="false" ht="15" hidden="false" customHeight="false" outlineLevel="0" collapsed="false">
      <c r="A165" s="73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 t="s">
        <v>303</v>
      </c>
      <c r="S165" s="73"/>
      <c r="T165" s="238"/>
      <c r="U165" s="238"/>
      <c r="V165" s="238" t="s">
        <v>204</v>
      </c>
      <c r="W165" s="238"/>
      <c r="X165" s="239" t="n">
        <v>0.065</v>
      </c>
      <c r="Y165" s="244" t="n">
        <v>70.92</v>
      </c>
      <c r="Z165" s="219" t="n">
        <f aca="false">X165*Y165</f>
        <v>4.6098</v>
      </c>
      <c r="AA165" s="73"/>
    </row>
    <row r="166" customFormat="false" ht="15" hidden="false" customHeight="false" outlineLevel="0" collapsed="false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238"/>
      <c r="U166" s="238"/>
      <c r="V166" s="238"/>
      <c r="W166" s="238"/>
      <c r="X166" s="239"/>
      <c r="Y166" s="73"/>
      <c r="Z166" s="91" t="n">
        <f aca="false">SUM(Z162:Z165)</f>
        <v>9.401914</v>
      </c>
      <c r="AA166" s="73"/>
    </row>
    <row r="167" customFormat="false" ht="15" hidden="false" customHeight="false" outlineLevel="0" collapsed="false">
      <c r="A167" s="73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93" t="s">
        <v>310</v>
      </c>
      <c r="S167" s="73"/>
      <c r="T167" s="238"/>
      <c r="U167" s="238"/>
      <c r="V167" s="238"/>
      <c r="W167" s="238"/>
      <c r="X167" s="239"/>
      <c r="Y167" s="73"/>
      <c r="Z167" s="73"/>
      <c r="AA167" s="73"/>
    </row>
    <row r="168" customFormat="false" ht="15" hidden="false" customHeight="false" outlineLevel="0" collapsed="false">
      <c r="A168" s="73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73" t="s">
        <v>311</v>
      </c>
      <c r="S168" s="73"/>
      <c r="T168" s="238"/>
      <c r="U168" s="238"/>
      <c r="V168" s="238" t="s">
        <v>312</v>
      </c>
      <c r="W168" s="238"/>
      <c r="X168" s="239" t="n">
        <v>3</v>
      </c>
      <c r="Y168" s="219" t="n">
        <f aca="false">Z160</f>
        <v>15.5493333333333</v>
      </c>
      <c r="Z168" s="219" t="n">
        <f aca="false">X168%*Y168</f>
        <v>0.46648</v>
      </c>
      <c r="AA168" s="73"/>
    </row>
    <row r="169" customFormat="false" ht="15" hidden="false" customHeight="false" outlineLevel="0" collapsed="false">
      <c r="A169" s="73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73" t="s">
        <v>668</v>
      </c>
      <c r="S169" s="73"/>
      <c r="T169" s="238"/>
      <c r="U169" s="238"/>
      <c r="V169" s="238" t="s">
        <v>338</v>
      </c>
      <c r="W169" s="238" t="n">
        <v>1</v>
      </c>
      <c r="X169" s="239" t="n">
        <f aca="false">W169*8/$T$154</f>
        <v>0.0666666666666667</v>
      </c>
      <c r="Y169" s="73" t="n">
        <v>25.63</v>
      </c>
      <c r="Z169" s="219" t="n">
        <f aca="false">X169*Y169</f>
        <v>1.70866666666667</v>
      </c>
      <c r="AA169" s="73"/>
    </row>
    <row r="170" customFormat="false" ht="15" hidden="false" customHeight="false" outlineLevel="0" collapsed="false">
      <c r="A170" s="73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240" t="s">
        <v>672</v>
      </c>
      <c r="R170" s="240" t="s">
        <v>672</v>
      </c>
      <c r="S170" s="240" t="s">
        <v>672</v>
      </c>
      <c r="T170" s="240" t="s">
        <v>672</v>
      </c>
      <c r="U170" s="240" t="s">
        <v>672</v>
      </c>
      <c r="V170" s="240" t="s">
        <v>672</v>
      </c>
      <c r="W170" s="240" t="s">
        <v>672</v>
      </c>
      <c r="X170" s="240" t="s">
        <v>672</v>
      </c>
      <c r="Y170" s="240" t="s">
        <v>672</v>
      </c>
      <c r="Z170" s="98" t="n">
        <f aca="false">SUM(Z168:Z169)</f>
        <v>2.17514666666667</v>
      </c>
      <c r="AA170" s="73"/>
    </row>
    <row r="171" customFormat="false" ht="15" hidden="false" customHeight="false" outlineLevel="0" collapsed="false">
      <c r="A171" s="73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  <c r="Z171" s="73"/>
      <c r="AA171" s="73"/>
    </row>
    <row r="172" customFormat="false" ht="15" hidden="false" customHeight="false" outlineLevel="0" collapsed="false">
      <c r="A172" s="73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83" t="s">
        <v>278</v>
      </c>
      <c r="R172" s="83"/>
      <c r="S172" s="83" t="s">
        <v>683</v>
      </c>
      <c r="T172" s="83"/>
      <c r="U172" s="83"/>
      <c r="V172" s="83"/>
      <c r="W172" s="73"/>
      <c r="X172" s="73"/>
      <c r="Y172" s="73"/>
      <c r="Z172" s="73"/>
      <c r="AA172" s="73"/>
    </row>
    <row r="173" customFormat="false" ht="15" hidden="false" customHeight="false" outlineLevel="0" collapsed="false">
      <c r="A173" s="73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83" t="s">
        <v>279</v>
      </c>
      <c r="R173" s="83" t="s">
        <v>417</v>
      </c>
      <c r="S173" s="83" t="s">
        <v>281</v>
      </c>
      <c r="T173" s="90" t="n">
        <v>25</v>
      </c>
      <c r="U173" s="90" t="s">
        <v>282</v>
      </c>
      <c r="V173" s="90" t="n">
        <f aca="false">T173</f>
        <v>25</v>
      </c>
      <c r="W173" s="90" t="s">
        <v>283</v>
      </c>
      <c r="X173" s="83"/>
      <c r="Y173" s="83" t="s">
        <v>204</v>
      </c>
      <c r="Z173" s="91" t="n">
        <f aca="false">SUM(Z179+Z187+Z192)</f>
        <v>426.397544</v>
      </c>
      <c r="AA173" s="73"/>
    </row>
    <row r="174" customFormat="false" ht="15" hidden="false" customHeight="false" outlineLevel="0" collapsed="false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83" t="s">
        <v>284</v>
      </c>
      <c r="R174" s="83" t="s">
        <v>285</v>
      </c>
      <c r="S174" s="83"/>
      <c r="T174" s="238"/>
      <c r="U174" s="238"/>
      <c r="V174" s="90" t="s">
        <v>123</v>
      </c>
      <c r="W174" s="90" t="s">
        <v>286</v>
      </c>
      <c r="X174" s="83" t="s">
        <v>287</v>
      </c>
      <c r="Y174" s="83" t="s">
        <v>288</v>
      </c>
      <c r="Z174" s="83" t="s">
        <v>289</v>
      </c>
      <c r="AA174" s="73"/>
    </row>
    <row r="175" customFormat="false" ht="15" hidden="false" customHeight="false" outlineLevel="0" collapsed="false">
      <c r="A175" s="73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93" t="s">
        <v>290</v>
      </c>
      <c r="S175" s="73"/>
      <c r="T175" s="238"/>
      <c r="U175" s="238"/>
      <c r="V175" s="238"/>
      <c r="W175" s="238"/>
      <c r="X175" s="73"/>
      <c r="Y175" s="73"/>
      <c r="Z175" s="73"/>
      <c r="AA175" s="73"/>
    </row>
    <row r="176" customFormat="false" ht="15" hidden="false" customHeight="false" outlineLevel="0" collapsed="false">
      <c r="A176" s="73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73" t="s">
        <v>291</v>
      </c>
      <c r="S176" s="73"/>
      <c r="T176" s="238"/>
      <c r="U176" s="238"/>
      <c r="V176" s="238" t="s">
        <v>292</v>
      </c>
      <c r="W176" s="238" t="n">
        <v>2</v>
      </c>
      <c r="X176" s="239" t="n">
        <f aca="false">W176*8/$T$173</f>
        <v>0.64</v>
      </c>
      <c r="Y176" s="219" t="n">
        <v>28.94</v>
      </c>
      <c r="Z176" s="219" t="n">
        <f aca="false">X176*Y176</f>
        <v>18.5216</v>
      </c>
      <c r="AA176" s="73"/>
    </row>
    <row r="177" customFormat="false" ht="15" hidden="false" customHeight="false" outlineLevel="0" collapsed="false">
      <c r="A177" s="73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73" t="s">
        <v>293</v>
      </c>
      <c r="S177" s="73"/>
      <c r="T177" s="238"/>
      <c r="U177" s="238"/>
      <c r="V177" s="238" t="s">
        <v>292</v>
      </c>
      <c r="W177" s="238" t="n">
        <v>2</v>
      </c>
      <c r="X177" s="239" t="n">
        <f aca="false">W177*8/$T$173</f>
        <v>0.64</v>
      </c>
      <c r="Y177" s="219" t="n">
        <v>23.6</v>
      </c>
      <c r="Z177" s="219" t="n">
        <f aca="false">X177*Y177</f>
        <v>15.104</v>
      </c>
      <c r="AA177" s="73"/>
    </row>
    <row r="178" customFormat="false" ht="15" hidden="false" customHeight="false" outlineLevel="0" collapsed="false">
      <c r="A178" s="73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 t="s">
        <v>294</v>
      </c>
      <c r="S178" s="73"/>
      <c r="T178" s="238"/>
      <c r="U178" s="238"/>
      <c r="V178" s="238" t="s">
        <v>292</v>
      </c>
      <c r="W178" s="238" t="n">
        <v>6</v>
      </c>
      <c r="X178" s="239" t="n">
        <f aca="false">W178*8/$T$173</f>
        <v>1.92</v>
      </c>
      <c r="Y178" s="219" t="n">
        <v>21.36</v>
      </c>
      <c r="Z178" s="219" t="n">
        <f aca="false">X178*Y178</f>
        <v>41.0112</v>
      </c>
      <c r="AA178" s="73"/>
    </row>
    <row r="179" customFormat="false" ht="15" hidden="false" customHeight="false" outlineLevel="0" collapsed="false">
      <c r="A179" s="73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73"/>
      <c r="S179" s="73"/>
      <c r="T179" s="238"/>
      <c r="U179" s="238"/>
      <c r="V179" s="238"/>
      <c r="W179" s="238"/>
      <c r="X179" s="239"/>
      <c r="Y179" s="219"/>
      <c r="Z179" s="91" t="n">
        <f aca="false">SUM(Z176:Z178)</f>
        <v>74.6368</v>
      </c>
      <c r="AA179" s="73"/>
    </row>
    <row r="180" customFormat="false" ht="15" hidden="false" customHeight="false" outlineLevel="0" collapsed="false">
      <c r="A180" s="73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93" t="s">
        <v>654</v>
      </c>
      <c r="S180" s="73"/>
      <c r="T180" s="238"/>
      <c r="U180" s="238"/>
      <c r="V180" s="238"/>
      <c r="W180" s="238"/>
      <c r="X180" s="239"/>
      <c r="Y180" s="219"/>
      <c r="Z180" s="219"/>
      <c r="AA180" s="73"/>
    </row>
    <row r="181" customFormat="false" ht="15" hidden="false" customHeight="false" outlineLevel="0" collapsed="false">
      <c r="A181" s="73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73" t="s">
        <v>673</v>
      </c>
      <c r="S181" s="73"/>
      <c r="T181" s="238"/>
      <c r="U181" s="238"/>
      <c r="V181" s="238" t="s">
        <v>204</v>
      </c>
      <c r="W181" s="238"/>
      <c r="X181" s="239" t="n">
        <v>0.53</v>
      </c>
      <c r="Y181" s="219" t="n">
        <v>55.08</v>
      </c>
      <c r="Z181" s="219" t="n">
        <f aca="false">X181*Y181</f>
        <v>29.1924</v>
      </c>
      <c r="AA181" s="73"/>
    </row>
    <row r="182" customFormat="false" ht="15" hidden="false" customHeight="false" outlineLevel="0" collapsed="false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 t="s">
        <v>674</v>
      </c>
      <c r="S182" s="73"/>
      <c r="T182" s="238"/>
      <c r="U182" s="238"/>
      <c r="V182" s="238" t="s">
        <v>204</v>
      </c>
      <c r="W182" s="238"/>
      <c r="X182" s="239" t="n">
        <v>0.52</v>
      </c>
      <c r="Y182" s="219" t="n">
        <v>47</v>
      </c>
      <c r="Z182" s="219" t="n">
        <f aca="false">X182*Y182</f>
        <v>24.44</v>
      </c>
      <c r="AA182" s="73"/>
    </row>
    <row r="183" customFormat="false" ht="15" hidden="false" customHeight="false" outlineLevel="0" collapsed="false">
      <c r="A183" s="73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73" t="s">
        <v>307</v>
      </c>
      <c r="S183" s="73"/>
      <c r="T183" s="238"/>
      <c r="U183" s="238"/>
      <c r="V183" s="238" t="s">
        <v>308</v>
      </c>
      <c r="W183" s="238"/>
      <c r="X183" s="239" t="n">
        <v>9.73</v>
      </c>
      <c r="Y183" s="219" t="n">
        <v>24.52</v>
      </c>
      <c r="Z183" s="219" t="n">
        <f aca="false">X183*Y183</f>
        <v>238.5796</v>
      </c>
      <c r="AA183" s="73"/>
    </row>
    <row r="184" customFormat="false" ht="15" hidden="false" customHeight="false" outlineLevel="0" collapsed="false">
      <c r="A184" s="73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73" t="s">
        <v>656</v>
      </c>
      <c r="S184" s="73"/>
      <c r="T184" s="238"/>
      <c r="U184" s="238"/>
      <c r="V184" s="238" t="s">
        <v>204</v>
      </c>
      <c r="W184" s="238"/>
      <c r="X184" s="239" t="n">
        <v>0.186</v>
      </c>
      <c r="Y184" s="219" t="n">
        <v>6.14</v>
      </c>
      <c r="Z184" s="219" t="n">
        <f aca="false">X184*Y184</f>
        <v>1.14204</v>
      </c>
      <c r="AA184" s="73"/>
    </row>
    <row r="185" customFormat="false" ht="15" hidden="false" customHeight="false" outlineLevel="0" collapsed="false">
      <c r="A185" s="73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 t="s">
        <v>666</v>
      </c>
      <c r="S185" s="73"/>
      <c r="T185" s="238"/>
      <c r="U185" s="238"/>
      <c r="V185" s="238" t="s">
        <v>440</v>
      </c>
      <c r="W185" s="238"/>
      <c r="X185" s="239" t="n">
        <v>0.36</v>
      </c>
      <c r="Y185" s="219" t="n">
        <v>13.93</v>
      </c>
      <c r="Z185" s="219" t="n">
        <f aca="false">X185*Y185</f>
        <v>5.0148</v>
      </c>
      <c r="AA185" s="73"/>
    </row>
    <row r="186" customFormat="false" ht="15" hidden="false" customHeight="false" outlineLevel="0" collapsed="false">
      <c r="A186" s="73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 t="s">
        <v>675</v>
      </c>
      <c r="S186" s="73"/>
      <c r="T186" s="238"/>
      <c r="U186" s="238"/>
      <c r="V186" s="238" t="s">
        <v>440</v>
      </c>
      <c r="W186" s="238"/>
      <c r="X186" s="239" t="n">
        <v>1.5</v>
      </c>
      <c r="Y186" s="247" t="n">
        <v>27.88</v>
      </c>
      <c r="Z186" s="219" t="n">
        <f aca="false">X186*Y186</f>
        <v>41.82</v>
      </c>
      <c r="AA186" s="73"/>
    </row>
    <row r="187" customFormat="false" ht="15" hidden="false" customHeight="false" outlineLevel="0" collapsed="false">
      <c r="A187" s="73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73"/>
      <c r="S187" s="73"/>
      <c r="T187" s="238"/>
      <c r="U187" s="238"/>
      <c r="V187" s="238"/>
      <c r="W187" s="238"/>
      <c r="X187" s="239"/>
      <c r="Y187" s="219"/>
      <c r="Z187" s="91" t="n">
        <f aca="false">SUM(Z181:Z186)</f>
        <v>340.18884</v>
      </c>
      <c r="AA187" s="73"/>
    </row>
    <row r="188" customFormat="false" ht="15" hidden="false" customHeight="false" outlineLevel="0" collapsed="false">
      <c r="A188" s="73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93" t="s">
        <v>310</v>
      </c>
      <c r="S188" s="73"/>
      <c r="T188" s="238"/>
      <c r="U188" s="238"/>
      <c r="V188" s="238"/>
      <c r="W188" s="238"/>
      <c r="X188" s="239"/>
      <c r="Y188" s="73"/>
      <c r="Z188" s="73"/>
      <c r="AA188" s="73"/>
    </row>
    <row r="189" customFormat="false" ht="15" hidden="false" customHeight="false" outlineLevel="0" collapsed="false">
      <c r="A189" s="73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73" t="s">
        <v>311</v>
      </c>
      <c r="S189" s="73"/>
      <c r="T189" s="238"/>
      <c r="U189" s="238"/>
      <c r="V189" s="238" t="s">
        <v>312</v>
      </c>
      <c r="W189" s="238"/>
      <c r="X189" s="239" t="n">
        <v>3</v>
      </c>
      <c r="Y189" s="219" t="n">
        <f aca="false">Z179</f>
        <v>74.6368</v>
      </c>
      <c r="Z189" s="219" t="n">
        <f aca="false">X189%*Y189</f>
        <v>2.239104</v>
      </c>
      <c r="AA189" s="73"/>
    </row>
    <row r="190" customFormat="false" ht="15" hidden="false" customHeight="false" outlineLevel="0" collapsed="false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 t="s">
        <v>668</v>
      </c>
      <c r="S190" s="73"/>
      <c r="T190" s="238"/>
      <c r="U190" s="238"/>
      <c r="V190" s="238" t="s">
        <v>338</v>
      </c>
      <c r="W190" s="238" t="n">
        <v>1</v>
      </c>
      <c r="X190" s="239" t="n">
        <f aca="false">W190*8/$T$173</f>
        <v>0.32</v>
      </c>
      <c r="Y190" s="73" t="n">
        <v>25.63</v>
      </c>
      <c r="Z190" s="219" t="n">
        <f aca="false">X190*Y190</f>
        <v>8.2016</v>
      </c>
      <c r="AA190" s="73"/>
    </row>
    <row r="191" customFormat="false" ht="15" hidden="false" customHeight="false" outlineLevel="0" collapsed="false">
      <c r="A191" s="73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73" t="s">
        <v>676</v>
      </c>
      <c r="S191" s="73"/>
      <c r="T191" s="238"/>
      <c r="U191" s="238"/>
      <c r="V191" s="238" t="s">
        <v>338</v>
      </c>
      <c r="W191" s="238" t="n">
        <v>0.5</v>
      </c>
      <c r="X191" s="239" t="n">
        <f aca="false">W191*8/$T$173</f>
        <v>0.16</v>
      </c>
      <c r="Y191" s="73" t="n">
        <v>7.07</v>
      </c>
      <c r="Z191" s="219" t="n">
        <f aca="false">X191*Y191</f>
        <v>1.1312</v>
      </c>
      <c r="AA191" s="73"/>
    </row>
    <row r="192" customFormat="false" ht="15" hidden="false" customHeight="false" outlineLevel="0" collapsed="false">
      <c r="A192" s="73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240" t="s">
        <v>672</v>
      </c>
      <c r="R192" s="240" t="s">
        <v>672</v>
      </c>
      <c r="S192" s="240" t="s">
        <v>672</v>
      </c>
      <c r="T192" s="240" t="s">
        <v>672</v>
      </c>
      <c r="U192" s="240" t="s">
        <v>672</v>
      </c>
      <c r="V192" s="240" t="s">
        <v>672</v>
      </c>
      <c r="W192" s="240" t="s">
        <v>672</v>
      </c>
      <c r="X192" s="240" t="s">
        <v>672</v>
      </c>
      <c r="Y192" s="240" t="s">
        <v>672</v>
      </c>
      <c r="Z192" s="98" t="n">
        <f aca="false">SUM(Z189:Z191)</f>
        <v>11.571904</v>
      </c>
      <c r="AA192" s="73"/>
    </row>
    <row r="193" customFormat="false" ht="15" hidden="false" customHeight="false" outlineLevel="0" collapsed="false">
      <c r="A193" s="73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  <c r="Z193" s="73"/>
      <c r="AA193" s="73"/>
    </row>
    <row r="194" customFormat="false" ht="15" hidden="false" customHeight="false" outlineLevel="0" collapsed="false">
      <c r="A194" s="73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83" t="s">
        <v>278</v>
      </c>
      <c r="R194" s="83"/>
      <c r="S194" s="83" t="s">
        <v>684</v>
      </c>
      <c r="T194" s="83"/>
      <c r="U194" s="83"/>
      <c r="V194" s="83"/>
      <c r="W194" s="73"/>
      <c r="X194" s="73"/>
      <c r="Y194" s="73"/>
      <c r="Z194" s="73"/>
      <c r="AA194" s="73"/>
    </row>
    <row r="195" customFormat="false" ht="15" hidden="false" customHeight="false" outlineLevel="0" collapsed="false">
      <c r="A195" s="73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83" t="s">
        <v>279</v>
      </c>
      <c r="R195" s="83" t="s">
        <v>280</v>
      </c>
      <c r="S195" s="83" t="s">
        <v>281</v>
      </c>
      <c r="T195" s="90" t="n">
        <v>8</v>
      </c>
      <c r="U195" s="90" t="s">
        <v>282</v>
      </c>
      <c r="V195" s="90" t="n">
        <f aca="false">T195</f>
        <v>8</v>
      </c>
      <c r="W195" s="90" t="s">
        <v>283</v>
      </c>
      <c r="X195" s="83"/>
      <c r="Y195" s="83" t="s">
        <v>134</v>
      </c>
      <c r="Z195" s="91" t="n">
        <f aca="false">Z200+Z205+Z208</f>
        <v>75.1142</v>
      </c>
      <c r="AA195" s="73"/>
    </row>
    <row r="196" customFormat="false" ht="15" hidden="false" customHeight="false" outlineLevel="0" collapsed="false">
      <c r="A196" s="73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83" t="s">
        <v>284</v>
      </c>
      <c r="R196" s="83" t="s">
        <v>285</v>
      </c>
      <c r="S196" s="83"/>
      <c r="T196" s="238"/>
      <c r="U196" s="238"/>
      <c r="V196" s="90" t="s">
        <v>123</v>
      </c>
      <c r="W196" s="90" t="s">
        <v>286</v>
      </c>
      <c r="X196" s="83" t="s">
        <v>287</v>
      </c>
      <c r="Y196" s="83" t="s">
        <v>288</v>
      </c>
      <c r="Z196" s="83" t="s">
        <v>289</v>
      </c>
      <c r="AA196" s="73"/>
    </row>
    <row r="197" customFormat="false" ht="15" hidden="false" customHeight="false" outlineLevel="0" collapsed="false">
      <c r="A197" s="73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93" t="s">
        <v>290</v>
      </c>
      <c r="S197" s="73"/>
      <c r="T197" s="238"/>
      <c r="U197" s="238"/>
      <c r="V197" s="238"/>
      <c r="W197" s="238"/>
      <c r="X197" s="73"/>
      <c r="Y197" s="73"/>
      <c r="Z197" s="73"/>
      <c r="AA197" s="73"/>
    </row>
    <row r="198" customFormat="false" ht="15" hidden="false" customHeight="false" outlineLevel="0" collapsed="false">
      <c r="A198" s="73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 t="s">
        <v>291</v>
      </c>
      <c r="S198" s="73"/>
      <c r="T198" s="238"/>
      <c r="U198" s="238"/>
      <c r="V198" s="238" t="s">
        <v>292</v>
      </c>
      <c r="W198" s="238" t="n">
        <v>1</v>
      </c>
      <c r="X198" s="239" t="n">
        <f aca="false">W198*8/$T$195</f>
        <v>1</v>
      </c>
      <c r="Y198" s="219" t="n">
        <v>28.94</v>
      </c>
      <c r="Z198" s="219" t="n">
        <f aca="false">X198*Y198</f>
        <v>28.94</v>
      </c>
      <c r="AA198" s="73"/>
    </row>
    <row r="199" customFormat="false" ht="15" hidden="false" customHeight="false" outlineLevel="0" collapsed="false">
      <c r="A199" s="73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73" t="s">
        <v>293</v>
      </c>
      <c r="S199" s="73"/>
      <c r="T199" s="238"/>
      <c r="U199" s="238"/>
      <c r="V199" s="238" t="s">
        <v>292</v>
      </c>
      <c r="W199" s="238" t="n">
        <v>1</v>
      </c>
      <c r="X199" s="239" t="n">
        <f aca="false">W199*8/$T$195</f>
        <v>1</v>
      </c>
      <c r="Y199" s="219" t="n">
        <v>23.6</v>
      </c>
      <c r="Z199" s="219" t="n">
        <f aca="false">X199*Y199</f>
        <v>23.6</v>
      </c>
      <c r="AA199" s="73"/>
    </row>
    <row r="200" customFormat="false" ht="15" hidden="false" customHeight="false" outlineLevel="0" collapsed="false">
      <c r="A200" s="73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73"/>
      <c r="S200" s="73"/>
      <c r="T200" s="238"/>
      <c r="U200" s="238"/>
      <c r="V200" s="238"/>
      <c r="W200" s="238"/>
      <c r="X200" s="239"/>
      <c r="Y200" s="219"/>
      <c r="Z200" s="91" t="n">
        <f aca="false">SUM(Z198:Z199)</f>
        <v>52.54</v>
      </c>
      <c r="AA200" s="73"/>
    </row>
    <row r="201" customFormat="false" ht="15" hidden="false" customHeight="false" outlineLevel="0" collapsed="false">
      <c r="A201" s="73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93" t="s">
        <v>654</v>
      </c>
      <c r="S201" s="73"/>
      <c r="T201" s="238"/>
      <c r="U201" s="238"/>
      <c r="V201" s="238"/>
      <c r="W201" s="238"/>
      <c r="X201" s="239"/>
      <c r="Y201" s="219"/>
      <c r="Z201" s="73"/>
      <c r="AA201" s="73"/>
    </row>
    <row r="202" customFormat="false" ht="15" hidden="false" customHeight="false" outlineLevel="0" collapsed="false">
      <c r="A202" s="73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 t="s">
        <v>678</v>
      </c>
      <c r="S202" s="73"/>
      <c r="T202" s="238"/>
      <c r="U202" s="238"/>
      <c r="V202" s="238" t="s">
        <v>297</v>
      </c>
      <c r="W202" s="238"/>
      <c r="X202" s="239" t="n">
        <v>0.26</v>
      </c>
      <c r="Y202" s="219" t="n">
        <v>2.64</v>
      </c>
      <c r="Z202" s="219" t="n">
        <f aca="false">X202*Y202</f>
        <v>0.6864</v>
      </c>
      <c r="AA202" s="73"/>
    </row>
    <row r="203" customFormat="false" ht="15" hidden="false" customHeight="false" outlineLevel="0" collapsed="false">
      <c r="A203" s="73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73" t="s">
        <v>302</v>
      </c>
      <c r="S203" s="73"/>
      <c r="T203" s="238"/>
      <c r="U203" s="238"/>
      <c r="V203" s="238" t="s">
        <v>297</v>
      </c>
      <c r="W203" s="238"/>
      <c r="X203" s="239" t="n">
        <v>0.16</v>
      </c>
      <c r="Y203" s="219" t="n">
        <v>5.51</v>
      </c>
      <c r="Z203" s="219" t="n">
        <f aca="false">X203*Y203</f>
        <v>0.8816</v>
      </c>
      <c r="AA203" s="73"/>
    </row>
    <row r="204" customFormat="false" ht="15" hidden="false" customHeight="false" outlineLevel="0" collapsed="false">
      <c r="A204" s="73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73" t="s">
        <v>670</v>
      </c>
      <c r="S204" s="73"/>
      <c r="T204" s="238"/>
      <c r="U204" s="238"/>
      <c r="V204" s="238" t="s">
        <v>306</v>
      </c>
      <c r="W204" s="238"/>
      <c r="X204" s="239" t="n">
        <v>3.35</v>
      </c>
      <c r="Y204" s="219" t="n">
        <v>5.8</v>
      </c>
      <c r="Z204" s="219" t="n">
        <f aca="false">X204*Y204</f>
        <v>19.43</v>
      </c>
      <c r="AA204" s="73"/>
    </row>
    <row r="205" customFormat="false" ht="15" hidden="false" customHeight="false" outlineLevel="0" collapsed="false">
      <c r="A205" s="73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73"/>
      <c r="S205" s="73"/>
      <c r="T205" s="238"/>
      <c r="U205" s="238"/>
      <c r="V205" s="238"/>
      <c r="W205" s="238"/>
      <c r="X205" s="239"/>
      <c r="Y205" s="219"/>
      <c r="Z205" s="91" t="n">
        <f aca="false">SUM(Z202:Z204)</f>
        <v>20.998</v>
      </c>
      <c r="AA205" s="73"/>
    </row>
    <row r="206" customFormat="false" ht="15" hidden="false" customHeight="false" outlineLevel="0" collapsed="false">
      <c r="A206" s="73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93" t="s">
        <v>310</v>
      </c>
      <c r="S206" s="73"/>
      <c r="T206" s="238"/>
      <c r="U206" s="238"/>
      <c r="V206" s="238"/>
      <c r="W206" s="238"/>
      <c r="X206" s="239"/>
      <c r="Y206" s="73"/>
      <c r="Z206" s="73"/>
      <c r="AA206" s="73"/>
    </row>
    <row r="207" customFormat="false" ht="15" hidden="false" customHeight="false" outlineLevel="0" collapsed="false">
      <c r="A207" s="73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73" t="s">
        <v>311</v>
      </c>
      <c r="S207" s="73"/>
      <c r="T207" s="73"/>
      <c r="U207" s="73"/>
      <c r="V207" s="73" t="s">
        <v>312</v>
      </c>
      <c r="W207" s="73"/>
      <c r="X207" s="239" t="n">
        <v>3</v>
      </c>
      <c r="Y207" s="73" t="n">
        <f aca="false">Z200</f>
        <v>52.54</v>
      </c>
      <c r="Z207" s="219" t="n">
        <f aca="false">X207%*Y207</f>
        <v>1.5762</v>
      </c>
      <c r="AA207" s="73"/>
    </row>
    <row r="208" customFormat="false" ht="15" hidden="false" customHeight="false" outlineLevel="0" collapsed="false">
      <c r="A208" s="73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240" t="s">
        <v>672</v>
      </c>
      <c r="R208" s="240" t="s">
        <v>672</v>
      </c>
      <c r="S208" s="240" t="s">
        <v>672</v>
      </c>
      <c r="T208" s="240" t="s">
        <v>672</v>
      </c>
      <c r="U208" s="240" t="s">
        <v>672</v>
      </c>
      <c r="V208" s="240" t="s">
        <v>672</v>
      </c>
      <c r="W208" s="240" t="s">
        <v>672</v>
      </c>
      <c r="X208" s="249" t="s">
        <v>672</v>
      </c>
      <c r="Y208" s="240" t="s">
        <v>672</v>
      </c>
      <c r="Z208" s="98" t="n">
        <f aca="false">SUM(Z207)</f>
        <v>1.5762</v>
      </c>
      <c r="AA208" s="73"/>
    </row>
    <row r="209" customFormat="false" ht="15" hidden="false" customHeight="false" outlineLevel="0" collapsed="false">
      <c r="A209" s="73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  <c r="Z209" s="73"/>
      <c r="AA209" s="73"/>
    </row>
    <row r="210" customFormat="false" ht="15" hidden="false" customHeight="false" outlineLevel="0" collapsed="false">
      <c r="A210" s="73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  <c r="Z210" s="73"/>
      <c r="AA210" s="73"/>
    </row>
    <row r="211" customFormat="false" ht="15" hidden="false" customHeight="false" outlineLevel="0" collapsed="false">
      <c r="A211" s="73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83" t="s">
        <v>278</v>
      </c>
      <c r="R211" s="83"/>
      <c r="S211" s="83" t="s">
        <v>507</v>
      </c>
      <c r="T211" s="83"/>
      <c r="U211" s="83"/>
      <c r="V211" s="83"/>
      <c r="W211" s="83"/>
      <c r="X211" s="73"/>
      <c r="Y211" s="73"/>
      <c r="Z211" s="73"/>
      <c r="AA211" s="73"/>
    </row>
    <row r="212" customFormat="false" ht="15" hidden="false" customHeight="false" outlineLevel="0" collapsed="false">
      <c r="A212" s="73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83" t="s">
        <v>279</v>
      </c>
      <c r="R212" s="83" t="s">
        <v>679</v>
      </c>
      <c r="S212" s="83" t="s">
        <v>281</v>
      </c>
      <c r="T212" s="90" t="n">
        <v>250</v>
      </c>
      <c r="U212" s="90" t="s">
        <v>282</v>
      </c>
      <c r="V212" s="90" t="n">
        <f aca="false">T212</f>
        <v>250</v>
      </c>
      <c r="W212" s="90" t="s">
        <v>283</v>
      </c>
      <c r="X212" s="83"/>
      <c r="Y212" s="83" t="s">
        <v>297</v>
      </c>
      <c r="Z212" s="91" t="n">
        <f aca="false">Z217+Z221+Z225</f>
        <v>5.5639628445</v>
      </c>
      <c r="AA212" s="73"/>
    </row>
    <row r="213" customFormat="false" ht="15" hidden="false" customHeight="false" outlineLevel="0" collapsed="false">
      <c r="A213" s="73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83" t="s">
        <v>284</v>
      </c>
      <c r="R213" s="83" t="s">
        <v>285</v>
      </c>
      <c r="S213" s="83"/>
      <c r="T213" s="238"/>
      <c r="U213" s="238"/>
      <c r="V213" s="90" t="s">
        <v>123</v>
      </c>
      <c r="W213" s="90" t="s">
        <v>286</v>
      </c>
      <c r="X213" s="83" t="s">
        <v>287</v>
      </c>
      <c r="Y213" s="83" t="s">
        <v>288</v>
      </c>
      <c r="Z213" s="83" t="s">
        <v>289</v>
      </c>
      <c r="AA213" s="73"/>
    </row>
    <row r="214" customFormat="false" ht="15" hidden="false" customHeight="false" outlineLevel="0" collapsed="false">
      <c r="A214" s="73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93" t="s">
        <v>290</v>
      </c>
      <c r="S214" s="73"/>
      <c r="T214" s="238"/>
      <c r="U214" s="238"/>
      <c r="V214" s="238"/>
      <c r="W214" s="238"/>
      <c r="X214" s="73"/>
      <c r="Y214" s="73"/>
      <c r="Z214" s="73"/>
      <c r="AA214" s="73"/>
    </row>
    <row r="215" customFormat="false" ht="15" hidden="false" customHeight="false" outlineLevel="0" collapsed="false">
      <c r="A215" s="73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73" t="s">
        <v>291</v>
      </c>
      <c r="S215" s="73"/>
      <c r="T215" s="238"/>
      <c r="U215" s="238"/>
      <c r="V215" s="238" t="s">
        <v>292</v>
      </c>
      <c r="W215" s="238" t="n">
        <v>1</v>
      </c>
      <c r="X215" s="239" t="n">
        <f aca="false">W215*8/$T$212</f>
        <v>0.032</v>
      </c>
      <c r="Y215" s="219" t="n">
        <v>28.94</v>
      </c>
      <c r="Z215" s="219" t="n">
        <f aca="false">X215*Y215</f>
        <v>0.92608</v>
      </c>
      <c r="AA215" s="73"/>
    </row>
    <row r="216" customFormat="false" ht="15" hidden="false" customHeight="false" outlineLevel="0" collapsed="false">
      <c r="A216" s="73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73" t="s">
        <v>680</v>
      </c>
      <c r="S216" s="73"/>
      <c r="T216" s="238"/>
      <c r="U216" s="238"/>
      <c r="V216" s="238" t="s">
        <v>292</v>
      </c>
      <c r="W216" s="238" t="n">
        <v>1</v>
      </c>
      <c r="X216" s="239" t="n">
        <f aca="false">W216*8/$T$212</f>
        <v>0.032</v>
      </c>
      <c r="Y216" s="219" t="n">
        <v>23.6</v>
      </c>
      <c r="Z216" s="219" t="n">
        <f aca="false">X216*Y216</f>
        <v>0.7552</v>
      </c>
      <c r="AA216" s="73"/>
    </row>
    <row r="217" customFormat="false" ht="15" hidden="false" customHeight="false" outlineLevel="0" collapsed="false">
      <c r="A217" s="73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73"/>
      <c r="S217" s="73"/>
      <c r="T217" s="238"/>
      <c r="U217" s="238"/>
      <c r="V217" s="238"/>
      <c r="W217" s="238"/>
      <c r="X217" s="239"/>
      <c r="Y217" s="219"/>
      <c r="Z217" s="91" t="n">
        <f aca="false">SUM(Z215:Z216)</f>
        <v>1.68128</v>
      </c>
      <c r="AA217" s="73"/>
    </row>
    <row r="218" customFormat="false" ht="15" hidden="false" customHeight="false" outlineLevel="0" collapsed="false">
      <c r="A218" s="73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93" t="s">
        <v>295</v>
      </c>
      <c r="S218" s="73"/>
      <c r="T218" s="238"/>
      <c r="U218" s="238"/>
      <c r="V218" s="238"/>
      <c r="W218" s="238"/>
      <c r="X218" s="239"/>
      <c r="Y218" s="219"/>
      <c r="Z218" s="73"/>
      <c r="AA218" s="73"/>
    </row>
    <row r="219" customFormat="false" ht="15" hidden="false" customHeight="false" outlineLevel="0" collapsed="false">
      <c r="A219" s="73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73" t="s">
        <v>296</v>
      </c>
      <c r="S219" s="73"/>
      <c r="T219" s="238"/>
      <c r="U219" s="238"/>
      <c r="V219" s="238" t="s">
        <v>297</v>
      </c>
      <c r="W219" s="238"/>
      <c r="X219" s="239" t="n">
        <v>0.03</v>
      </c>
      <c r="Y219" s="219" t="n">
        <v>2.64</v>
      </c>
      <c r="Z219" s="219" t="n">
        <f aca="false">X219*Y219</f>
        <v>0.0792</v>
      </c>
      <c r="AA219" s="73"/>
    </row>
    <row r="220" customFormat="false" ht="15" hidden="false" customHeight="false" outlineLevel="0" collapsed="false">
      <c r="A220" s="73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73" t="s">
        <v>681</v>
      </c>
      <c r="S220" s="73"/>
      <c r="T220" s="238"/>
      <c r="U220" s="238"/>
      <c r="V220" s="238" t="s">
        <v>297</v>
      </c>
      <c r="W220" s="238"/>
      <c r="X220" s="239" t="n">
        <v>1.05</v>
      </c>
      <c r="Y220" s="219" t="n">
        <f aca="false">1012.71*3.379/1000</f>
        <v>3.42194709</v>
      </c>
      <c r="Z220" s="219" t="n">
        <f aca="false">X220*Y220</f>
        <v>3.5930444445</v>
      </c>
      <c r="AA220" s="73"/>
    </row>
    <row r="221" customFormat="false" ht="15" hidden="false" customHeight="false" outlineLevel="0" collapsed="false">
      <c r="A221" s="73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73"/>
      <c r="S221" s="73"/>
      <c r="T221" s="238"/>
      <c r="U221" s="238"/>
      <c r="V221" s="238"/>
      <c r="W221" s="238"/>
      <c r="X221" s="239"/>
      <c r="Y221" s="219"/>
      <c r="Z221" s="91" t="n">
        <f aca="false">SUM(Z219:Z220)</f>
        <v>3.6722444445</v>
      </c>
      <c r="AA221" s="73"/>
    </row>
    <row r="222" customFormat="false" ht="15" hidden="false" customHeight="false" outlineLevel="0" collapsed="false">
      <c r="A222" s="73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93" t="s">
        <v>318</v>
      </c>
      <c r="S222" s="73"/>
      <c r="T222" s="238"/>
      <c r="U222" s="238"/>
      <c r="V222" s="238"/>
      <c r="W222" s="238"/>
      <c r="X222" s="239"/>
      <c r="Y222" s="219"/>
      <c r="Z222" s="73"/>
      <c r="AA222" s="73"/>
    </row>
    <row r="223" customFormat="false" ht="15" hidden="false" customHeight="false" outlineLevel="0" collapsed="false">
      <c r="A223" s="73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73" t="s">
        <v>311</v>
      </c>
      <c r="S223" s="73"/>
      <c r="T223" s="238"/>
      <c r="U223" s="238"/>
      <c r="V223" s="238" t="s">
        <v>312</v>
      </c>
      <c r="W223" s="238"/>
      <c r="X223" s="239" t="n">
        <v>3</v>
      </c>
      <c r="Y223" s="219" t="n">
        <f aca="false">Z217</f>
        <v>1.68128</v>
      </c>
      <c r="Z223" s="219" t="n">
        <f aca="false">X223%*Y223</f>
        <v>0.0504384</v>
      </c>
      <c r="AA223" s="73"/>
    </row>
    <row r="224" customFormat="false" ht="15" hidden="false" customHeight="false" outlineLevel="0" collapsed="false">
      <c r="A224" s="73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73" t="s">
        <v>682</v>
      </c>
      <c r="S224" s="73"/>
      <c r="T224" s="238"/>
      <c r="U224" s="238"/>
      <c r="V224" s="238" t="s">
        <v>292</v>
      </c>
      <c r="W224" s="238" t="n">
        <v>1</v>
      </c>
      <c r="X224" s="239" t="n">
        <f aca="false">W224*8/$T$212</f>
        <v>0.032</v>
      </c>
      <c r="Y224" s="247" t="n">
        <v>5</v>
      </c>
      <c r="Z224" s="219" t="n">
        <f aca="false">X224*Y224</f>
        <v>0.16</v>
      </c>
      <c r="AA224" s="73"/>
    </row>
    <row r="225" customFormat="false" ht="15" hidden="false" customHeight="false" outlineLevel="0" collapsed="false">
      <c r="A225" s="73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240" t="s">
        <v>672</v>
      </c>
      <c r="R225" s="240" t="s">
        <v>672</v>
      </c>
      <c r="S225" s="240" t="s">
        <v>672</v>
      </c>
      <c r="T225" s="240" t="s">
        <v>672</v>
      </c>
      <c r="U225" s="240" t="s">
        <v>672</v>
      </c>
      <c r="V225" s="240" t="s">
        <v>672</v>
      </c>
      <c r="W225" s="240" t="s">
        <v>672</v>
      </c>
      <c r="X225" s="240" t="s">
        <v>672</v>
      </c>
      <c r="Y225" s="240" t="s">
        <v>672</v>
      </c>
      <c r="Z225" s="98" t="n">
        <f aca="false">SUM(Z223:Z224)</f>
        <v>0.2104384</v>
      </c>
      <c r="AA225" s="73"/>
    </row>
    <row r="226" customFormat="false" ht="15" hidden="false" customHeight="false" outlineLevel="0" collapsed="false">
      <c r="A226" s="73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  <c r="S226" s="73"/>
      <c r="T226" s="73"/>
      <c r="U226" s="73"/>
      <c r="V226" s="73"/>
      <c r="W226" s="73"/>
      <c r="X226" s="73"/>
      <c r="Y226" s="73"/>
      <c r="Z226" s="73"/>
      <c r="AA226" s="73"/>
    </row>
    <row r="227" customFormat="false" ht="15" hidden="false" customHeight="false" outlineLevel="0" collapsed="false">
      <c r="A227" s="73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83" t="s">
        <v>278</v>
      </c>
      <c r="R227" s="83"/>
      <c r="S227" s="83" t="s">
        <v>511</v>
      </c>
      <c r="T227" s="83"/>
      <c r="U227" s="83"/>
      <c r="V227" s="83"/>
      <c r="W227" s="83"/>
      <c r="X227" s="73"/>
      <c r="Y227" s="73"/>
      <c r="Z227" s="73"/>
      <c r="AA227" s="73"/>
    </row>
    <row r="228" customFormat="false" ht="15" hidden="false" customHeight="false" outlineLevel="0" collapsed="false">
      <c r="A228" s="73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83" t="s">
        <v>279</v>
      </c>
      <c r="R228" s="83" t="s">
        <v>417</v>
      </c>
      <c r="S228" s="83" t="s">
        <v>281</v>
      </c>
      <c r="T228" s="90" t="n">
        <v>20</v>
      </c>
      <c r="U228" s="90" t="s">
        <v>282</v>
      </c>
      <c r="V228" s="90" t="n">
        <f aca="false">T228</f>
        <v>20</v>
      </c>
      <c r="W228" s="90" t="s">
        <v>283</v>
      </c>
      <c r="X228" s="83"/>
      <c r="Y228" s="83" t="s">
        <v>204</v>
      </c>
      <c r="Z228" s="91" t="n">
        <f aca="false">Z234+Z242+Z247</f>
        <v>438.22652</v>
      </c>
      <c r="AA228" s="73"/>
    </row>
    <row r="229" customFormat="false" ht="15" hidden="false" customHeight="false" outlineLevel="0" collapsed="false">
      <c r="A229" s="73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83" t="s">
        <v>284</v>
      </c>
      <c r="R229" s="83" t="s">
        <v>285</v>
      </c>
      <c r="S229" s="83"/>
      <c r="T229" s="238"/>
      <c r="U229" s="238"/>
      <c r="V229" s="90" t="s">
        <v>123</v>
      </c>
      <c r="W229" s="90" t="s">
        <v>286</v>
      </c>
      <c r="X229" s="83" t="s">
        <v>287</v>
      </c>
      <c r="Y229" s="83" t="s">
        <v>288</v>
      </c>
      <c r="Z229" s="83" t="s">
        <v>289</v>
      </c>
      <c r="AA229" s="73"/>
    </row>
    <row r="230" customFormat="false" ht="15" hidden="false" customHeight="false" outlineLevel="0" collapsed="false">
      <c r="A230" s="73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93" t="s">
        <v>290</v>
      </c>
      <c r="S230" s="73"/>
      <c r="T230" s="238"/>
      <c r="U230" s="238"/>
      <c r="V230" s="238"/>
      <c r="W230" s="238"/>
      <c r="X230" s="73"/>
      <c r="Y230" s="73"/>
      <c r="Z230" s="73"/>
      <c r="AA230" s="73"/>
    </row>
    <row r="231" customFormat="false" ht="15" hidden="false" customHeight="false" outlineLevel="0" collapsed="false">
      <c r="A231" s="73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73" t="s">
        <v>291</v>
      </c>
      <c r="S231" s="73"/>
      <c r="T231" s="238"/>
      <c r="U231" s="238"/>
      <c r="V231" s="238" t="s">
        <v>292</v>
      </c>
      <c r="W231" s="238" t="n">
        <v>2</v>
      </c>
      <c r="X231" s="239" t="n">
        <f aca="false">W231*8/$T$228</f>
        <v>0.8</v>
      </c>
      <c r="Y231" s="219" t="n">
        <v>28.94</v>
      </c>
      <c r="Z231" s="219" t="n">
        <f aca="false">X231*Y231</f>
        <v>23.152</v>
      </c>
      <c r="AA231" s="73"/>
    </row>
    <row r="232" customFormat="false" ht="15" hidden="false" customHeight="false" outlineLevel="0" collapsed="false">
      <c r="A232" s="73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73" t="s">
        <v>293</v>
      </c>
      <c r="S232" s="73"/>
      <c r="T232" s="238"/>
      <c r="U232" s="238"/>
      <c r="V232" s="238" t="s">
        <v>292</v>
      </c>
      <c r="W232" s="238" t="n">
        <v>1</v>
      </c>
      <c r="X232" s="239" t="n">
        <f aca="false">W232*8/$T$228</f>
        <v>0.4</v>
      </c>
      <c r="Y232" s="219" t="n">
        <v>23.6</v>
      </c>
      <c r="Z232" s="219" t="n">
        <f aca="false">X232*Y232</f>
        <v>9.44</v>
      </c>
      <c r="AA232" s="73"/>
    </row>
    <row r="233" customFormat="false" ht="15" hidden="false" customHeight="false" outlineLevel="0" collapsed="false">
      <c r="A233" s="73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73" t="s">
        <v>294</v>
      </c>
      <c r="S233" s="73"/>
      <c r="T233" s="238"/>
      <c r="U233" s="238"/>
      <c r="V233" s="238" t="s">
        <v>292</v>
      </c>
      <c r="W233" s="238" t="n">
        <v>6</v>
      </c>
      <c r="X233" s="239" t="n">
        <f aca="false">W233*8/$T$228</f>
        <v>2.4</v>
      </c>
      <c r="Y233" s="219" t="n">
        <v>21.36</v>
      </c>
      <c r="Z233" s="219" t="n">
        <f aca="false">X233*Y233</f>
        <v>51.264</v>
      </c>
      <c r="AA233" s="73"/>
    </row>
    <row r="234" customFormat="false" ht="15" hidden="false" customHeight="false" outlineLevel="0" collapsed="false">
      <c r="A234" s="73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  <c r="S234" s="73"/>
      <c r="T234" s="238"/>
      <c r="U234" s="238"/>
      <c r="V234" s="238"/>
      <c r="W234" s="238"/>
      <c r="X234" s="239"/>
      <c r="Y234" s="219"/>
      <c r="Z234" s="91" t="n">
        <f aca="false">SUM(Z231:Z233)</f>
        <v>83.856</v>
      </c>
      <c r="AA234" s="73"/>
    </row>
    <row r="235" customFormat="false" ht="15" hidden="false" customHeight="false" outlineLevel="0" collapsed="false">
      <c r="A235" s="73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93" t="s">
        <v>654</v>
      </c>
      <c r="S235" s="73"/>
      <c r="T235" s="238"/>
      <c r="U235" s="238"/>
      <c r="V235" s="238"/>
      <c r="W235" s="238"/>
      <c r="X235" s="239"/>
      <c r="Y235" s="219"/>
      <c r="Z235" s="73"/>
      <c r="AA235" s="73"/>
    </row>
    <row r="236" customFormat="false" ht="15" hidden="false" customHeight="false" outlineLevel="0" collapsed="false">
      <c r="A236" s="73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 t="s">
        <v>673</v>
      </c>
      <c r="S236" s="73"/>
      <c r="T236" s="238"/>
      <c r="U236" s="238"/>
      <c r="V236" s="238" t="s">
        <v>204</v>
      </c>
      <c r="W236" s="238"/>
      <c r="X236" s="239" t="n">
        <v>0.53</v>
      </c>
      <c r="Y236" s="219" t="n">
        <v>55.08</v>
      </c>
      <c r="Z236" s="219" t="n">
        <f aca="false">X236*Y236</f>
        <v>29.1924</v>
      </c>
      <c r="AA236" s="73"/>
    </row>
    <row r="237" customFormat="false" ht="15" hidden="false" customHeight="false" outlineLevel="0" collapsed="false">
      <c r="A237" s="73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73" t="s">
        <v>674</v>
      </c>
      <c r="S237" s="73"/>
      <c r="T237" s="238"/>
      <c r="U237" s="238"/>
      <c r="V237" s="238" t="s">
        <v>204</v>
      </c>
      <c r="W237" s="238"/>
      <c r="X237" s="239" t="n">
        <v>0.52</v>
      </c>
      <c r="Y237" s="219" t="n">
        <v>47</v>
      </c>
      <c r="Z237" s="219" t="n">
        <f aca="false">X237*Y237</f>
        <v>24.44</v>
      </c>
      <c r="AA237" s="73"/>
    </row>
    <row r="238" customFormat="false" ht="15" hidden="false" customHeight="false" outlineLevel="0" collapsed="false">
      <c r="A238" s="73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 t="s">
        <v>307</v>
      </c>
      <c r="S238" s="73"/>
      <c r="T238" s="238"/>
      <c r="U238" s="238"/>
      <c r="V238" s="238" t="s">
        <v>308</v>
      </c>
      <c r="W238" s="238"/>
      <c r="X238" s="239" t="n">
        <v>9.73</v>
      </c>
      <c r="Y238" s="219" t="n">
        <v>24.52</v>
      </c>
      <c r="Z238" s="219" t="n">
        <f aca="false">X238*Y238</f>
        <v>238.5796</v>
      </c>
      <c r="AA238" s="73"/>
    </row>
    <row r="239" customFormat="false" ht="15" hidden="false" customHeight="false" outlineLevel="0" collapsed="false">
      <c r="A239" s="73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73" t="s">
        <v>656</v>
      </c>
      <c r="S239" s="73"/>
      <c r="T239" s="238"/>
      <c r="U239" s="238"/>
      <c r="V239" s="238" t="s">
        <v>204</v>
      </c>
      <c r="W239" s="238"/>
      <c r="X239" s="239" t="n">
        <v>0.186</v>
      </c>
      <c r="Y239" s="219" t="n">
        <v>6.14</v>
      </c>
      <c r="Z239" s="219" t="n">
        <f aca="false">X239*Y239</f>
        <v>1.14204</v>
      </c>
      <c r="AA239" s="73"/>
    </row>
    <row r="240" customFormat="false" ht="15" hidden="false" customHeight="false" outlineLevel="0" collapsed="false">
      <c r="A240" s="73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73" t="s">
        <v>666</v>
      </c>
      <c r="S240" s="73"/>
      <c r="T240" s="238"/>
      <c r="U240" s="238"/>
      <c r="V240" s="238" t="s">
        <v>440</v>
      </c>
      <c r="W240" s="238"/>
      <c r="X240" s="239" t="n">
        <v>0.36</v>
      </c>
      <c r="Y240" s="219" t="n">
        <v>13.93</v>
      </c>
      <c r="Z240" s="219" t="n">
        <f aca="false">X240*Y240</f>
        <v>5.0148</v>
      </c>
      <c r="AA240" s="73"/>
    </row>
    <row r="241" customFormat="false" ht="15" hidden="false" customHeight="false" outlineLevel="0" collapsed="false">
      <c r="A241" s="73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73" t="s">
        <v>675</v>
      </c>
      <c r="S241" s="73"/>
      <c r="T241" s="238"/>
      <c r="U241" s="238"/>
      <c r="V241" s="238" t="s">
        <v>440</v>
      </c>
      <c r="W241" s="238"/>
      <c r="X241" s="239" t="n">
        <v>1.5</v>
      </c>
      <c r="Y241" s="247" t="n">
        <v>27.88</v>
      </c>
      <c r="Z241" s="219" t="n">
        <f aca="false">X241*Y241</f>
        <v>41.82</v>
      </c>
      <c r="AA241" s="73"/>
    </row>
    <row r="242" customFormat="false" ht="15" hidden="false" customHeight="false" outlineLevel="0" collapsed="false">
      <c r="A242" s="73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  <c r="S242" s="73"/>
      <c r="T242" s="238"/>
      <c r="U242" s="238"/>
      <c r="V242" s="238"/>
      <c r="W242" s="238"/>
      <c r="X242" s="239"/>
      <c r="Y242" s="219"/>
      <c r="Z242" s="91" t="n">
        <f aca="false">SUM(Z236:Z241)</f>
        <v>340.18884</v>
      </c>
      <c r="AA242" s="73"/>
    </row>
    <row r="243" customFormat="false" ht="15" hidden="false" customHeight="false" outlineLevel="0" collapsed="false">
      <c r="A243" s="73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93" t="s">
        <v>310</v>
      </c>
      <c r="S243" s="73"/>
      <c r="T243" s="238"/>
      <c r="U243" s="238"/>
      <c r="V243" s="238"/>
      <c r="W243" s="238"/>
      <c r="X243" s="239"/>
      <c r="Y243" s="219"/>
      <c r="Z243" s="73"/>
      <c r="AA243" s="73"/>
    </row>
    <row r="244" customFormat="false" ht="15" hidden="false" customHeight="false" outlineLevel="0" collapsed="false">
      <c r="A244" s="73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73" t="s">
        <v>311</v>
      </c>
      <c r="S244" s="73"/>
      <c r="T244" s="238"/>
      <c r="U244" s="238"/>
      <c r="V244" s="238" t="s">
        <v>312</v>
      </c>
      <c r="W244" s="238"/>
      <c r="X244" s="239" t="n">
        <v>3</v>
      </c>
      <c r="Y244" s="219" t="n">
        <f aca="false">Z234</f>
        <v>83.856</v>
      </c>
      <c r="Z244" s="219" t="n">
        <f aca="false">X244%*Y244</f>
        <v>2.51568</v>
      </c>
      <c r="AA244" s="73"/>
    </row>
    <row r="245" customFormat="false" ht="15" hidden="false" customHeight="false" outlineLevel="0" collapsed="false">
      <c r="A245" s="73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73" t="s">
        <v>668</v>
      </c>
      <c r="S245" s="73"/>
      <c r="T245" s="238"/>
      <c r="U245" s="238"/>
      <c r="V245" s="238" t="s">
        <v>338</v>
      </c>
      <c r="W245" s="238" t="n">
        <v>1</v>
      </c>
      <c r="X245" s="239" t="n">
        <f aca="false">W245*8/$T$228</f>
        <v>0.4</v>
      </c>
      <c r="Y245" s="73" t="n">
        <v>25.63</v>
      </c>
      <c r="Z245" s="219" t="n">
        <f aca="false">X245*Y245</f>
        <v>10.252</v>
      </c>
      <c r="AA245" s="73"/>
    </row>
    <row r="246" customFormat="false" ht="15" hidden="false" customHeight="false" outlineLevel="0" collapsed="false">
      <c r="A246" s="73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 t="s">
        <v>676</v>
      </c>
      <c r="S246" s="73"/>
      <c r="T246" s="238"/>
      <c r="U246" s="238"/>
      <c r="V246" s="238" t="s">
        <v>338</v>
      </c>
      <c r="W246" s="238" t="n">
        <v>0.5</v>
      </c>
      <c r="X246" s="239" t="n">
        <f aca="false">W246*8/$T$228</f>
        <v>0.2</v>
      </c>
      <c r="Y246" s="73" t="n">
        <v>7.07</v>
      </c>
      <c r="Z246" s="219" t="n">
        <f aca="false">X246*Y246</f>
        <v>1.414</v>
      </c>
      <c r="AA246" s="73"/>
    </row>
    <row r="247" customFormat="false" ht="15" hidden="false" customHeight="false" outlineLevel="0" collapsed="false">
      <c r="A247" s="73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240" t="s">
        <v>672</v>
      </c>
      <c r="R247" s="240" t="s">
        <v>672</v>
      </c>
      <c r="S247" s="240" t="s">
        <v>672</v>
      </c>
      <c r="T247" s="240" t="s">
        <v>672</v>
      </c>
      <c r="U247" s="240" t="s">
        <v>672</v>
      </c>
      <c r="V247" s="240" t="s">
        <v>672</v>
      </c>
      <c r="W247" s="240" t="s">
        <v>672</v>
      </c>
      <c r="X247" s="240" t="s">
        <v>672</v>
      </c>
      <c r="Y247" s="240" t="s">
        <v>672</v>
      </c>
      <c r="Z247" s="98" t="n">
        <f aca="false">SUM(Z244:Z246)</f>
        <v>14.18168</v>
      </c>
      <c r="AA247" s="73"/>
    </row>
    <row r="248" customFormat="false" ht="15" hidden="false" customHeight="false" outlineLevel="0" collapsed="false">
      <c r="A248" s="73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73"/>
      <c r="S248" s="73"/>
      <c r="T248" s="73"/>
      <c r="U248" s="73"/>
      <c r="V248" s="73"/>
      <c r="W248" s="73"/>
      <c r="X248" s="73"/>
      <c r="Y248" s="73"/>
      <c r="Z248" s="83"/>
      <c r="AA248" s="73"/>
    </row>
    <row r="249" customFormat="false" ht="15" hidden="false" customHeight="false" outlineLevel="0" collapsed="false">
      <c r="A249" s="73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83" t="s">
        <v>278</v>
      </c>
      <c r="R249" s="83"/>
      <c r="S249" s="83" t="s">
        <v>513</v>
      </c>
      <c r="T249" s="83"/>
      <c r="U249" s="83"/>
      <c r="V249" s="83"/>
      <c r="W249" s="83"/>
      <c r="X249" s="83"/>
      <c r="Y249" s="73"/>
      <c r="Z249" s="73"/>
      <c r="AA249" s="73"/>
    </row>
    <row r="250" customFormat="false" ht="15" hidden="false" customHeight="false" outlineLevel="0" collapsed="false">
      <c r="A250" s="73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83" t="s">
        <v>279</v>
      </c>
      <c r="R250" s="83" t="s">
        <v>280</v>
      </c>
      <c r="S250" s="83" t="s">
        <v>281</v>
      </c>
      <c r="T250" s="90" t="n">
        <v>20</v>
      </c>
      <c r="U250" s="90" t="s">
        <v>282</v>
      </c>
      <c r="V250" s="90" t="n">
        <f aca="false">T250</f>
        <v>20</v>
      </c>
      <c r="W250" s="90" t="s">
        <v>283</v>
      </c>
      <c r="X250" s="83"/>
      <c r="Y250" s="83" t="s">
        <v>134</v>
      </c>
      <c r="Z250" s="91" t="n">
        <f aca="false">Z255+Z260+Z263</f>
        <v>64.02696</v>
      </c>
      <c r="AA250" s="73"/>
    </row>
    <row r="251" customFormat="false" ht="15" hidden="false" customHeight="false" outlineLevel="0" collapsed="false">
      <c r="A251" s="73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83" t="s">
        <v>284</v>
      </c>
      <c r="R251" s="83" t="s">
        <v>285</v>
      </c>
      <c r="S251" s="83"/>
      <c r="T251" s="238"/>
      <c r="U251" s="238"/>
      <c r="V251" s="90" t="s">
        <v>123</v>
      </c>
      <c r="W251" s="90" t="s">
        <v>286</v>
      </c>
      <c r="X251" s="83" t="s">
        <v>287</v>
      </c>
      <c r="Y251" s="83" t="s">
        <v>288</v>
      </c>
      <c r="Z251" s="83" t="s">
        <v>289</v>
      </c>
      <c r="AA251" s="73"/>
    </row>
    <row r="252" customFormat="false" ht="15" hidden="false" customHeight="false" outlineLevel="0" collapsed="false">
      <c r="A252" s="73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93" t="s">
        <v>290</v>
      </c>
      <c r="S252" s="73"/>
      <c r="T252" s="238"/>
      <c r="U252" s="238"/>
      <c r="V252" s="238"/>
      <c r="W252" s="238"/>
      <c r="X252" s="73"/>
      <c r="Y252" s="73"/>
      <c r="Z252" s="73"/>
      <c r="AA252" s="73"/>
    </row>
    <row r="253" customFormat="false" ht="15" hidden="false" customHeight="false" outlineLevel="0" collapsed="false">
      <c r="A253" s="73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73" t="s">
        <v>291</v>
      </c>
      <c r="S253" s="73"/>
      <c r="T253" s="238"/>
      <c r="U253" s="238"/>
      <c r="V253" s="238" t="s">
        <v>292</v>
      </c>
      <c r="W253" s="238" t="n">
        <v>2</v>
      </c>
      <c r="X253" s="239" t="n">
        <f aca="false">W253*8/$T$250</f>
        <v>0.8</v>
      </c>
      <c r="Y253" s="219" t="n">
        <v>28.94</v>
      </c>
      <c r="Z253" s="219" t="n">
        <f aca="false">X253*Y253</f>
        <v>23.152</v>
      </c>
      <c r="AA253" s="73"/>
    </row>
    <row r="254" customFormat="false" ht="15" hidden="false" customHeight="false" outlineLevel="0" collapsed="false">
      <c r="A254" s="73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 t="s">
        <v>293</v>
      </c>
      <c r="S254" s="73"/>
      <c r="T254" s="238"/>
      <c r="U254" s="238"/>
      <c r="V254" s="238" t="s">
        <v>292</v>
      </c>
      <c r="W254" s="238" t="n">
        <v>2</v>
      </c>
      <c r="X254" s="239" t="n">
        <f aca="false">W254*8/$T$250</f>
        <v>0.8</v>
      </c>
      <c r="Y254" s="219" t="n">
        <v>23.6</v>
      </c>
      <c r="Z254" s="219" t="n">
        <f aca="false">X254*Y254</f>
        <v>18.88</v>
      </c>
      <c r="AA254" s="73"/>
    </row>
    <row r="255" customFormat="false" ht="15" hidden="false" customHeight="false" outlineLevel="0" collapsed="false">
      <c r="A255" s="73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73"/>
      <c r="S255" s="73"/>
      <c r="T255" s="238"/>
      <c r="U255" s="238"/>
      <c r="V255" s="238"/>
      <c r="W255" s="238"/>
      <c r="X255" s="239"/>
      <c r="Y255" s="219"/>
      <c r="Z255" s="91" t="n">
        <f aca="false">SUM(Z253:Z254)</f>
        <v>42.032</v>
      </c>
      <c r="AA255" s="73"/>
    </row>
    <row r="256" customFormat="false" ht="15" hidden="false" customHeight="false" outlineLevel="0" collapsed="false">
      <c r="A256" s="73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93" t="s">
        <v>654</v>
      </c>
      <c r="S256" s="73"/>
      <c r="T256" s="238"/>
      <c r="U256" s="238"/>
      <c r="V256" s="238"/>
      <c r="W256" s="238"/>
      <c r="X256" s="239"/>
      <c r="Y256" s="219"/>
      <c r="Z256" s="73"/>
      <c r="AA256" s="73"/>
    </row>
    <row r="257" customFormat="false" ht="15" hidden="false" customHeight="false" outlineLevel="0" collapsed="false">
      <c r="A257" s="73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73" t="s">
        <v>678</v>
      </c>
      <c r="S257" s="73"/>
      <c r="T257" s="238"/>
      <c r="U257" s="238"/>
      <c r="V257" s="238" t="s">
        <v>297</v>
      </c>
      <c r="W257" s="238"/>
      <c r="X257" s="239" t="n">
        <v>0.16</v>
      </c>
      <c r="Y257" s="219" t="n">
        <v>2.64</v>
      </c>
      <c r="Z257" s="219" t="n">
        <f aca="false">X257*Y257</f>
        <v>0.4224</v>
      </c>
      <c r="AA257" s="73"/>
    </row>
    <row r="258" customFormat="false" ht="15" hidden="false" customHeight="false" outlineLevel="0" collapsed="false">
      <c r="A258" s="73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 t="s">
        <v>302</v>
      </c>
      <c r="S258" s="73"/>
      <c r="T258" s="238"/>
      <c r="U258" s="238"/>
      <c r="V258" s="238" t="s">
        <v>297</v>
      </c>
      <c r="W258" s="238"/>
      <c r="X258" s="239" t="n">
        <v>0.16</v>
      </c>
      <c r="Y258" s="219" t="n">
        <v>5.51</v>
      </c>
      <c r="Z258" s="219" t="n">
        <f aca="false">X258*Y258</f>
        <v>0.8816</v>
      </c>
      <c r="AA258" s="73"/>
    </row>
    <row r="259" customFormat="false" ht="15" hidden="false" customHeight="false" outlineLevel="0" collapsed="false">
      <c r="A259" s="73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73" t="s">
        <v>670</v>
      </c>
      <c r="S259" s="73"/>
      <c r="T259" s="238"/>
      <c r="U259" s="238"/>
      <c r="V259" s="238" t="s">
        <v>306</v>
      </c>
      <c r="W259" s="238"/>
      <c r="X259" s="239" t="n">
        <v>3.35</v>
      </c>
      <c r="Y259" s="219" t="n">
        <v>5.8</v>
      </c>
      <c r="Z259" s="219" t="n">
        <f aca="false">X259*Y259</f>
        <v>19.43</v>
      </c>
      <c r="AA259" s="73"/>
    </row>
    <row r="260" customFormat="false" ht="15" hidden="false" customHeight="false" outlineLevel="0" collapsed="false">
      <c r="A260" s="73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73"/>
      <c r="S260" s="73"/>
      <c r="T260" s="238"/>
      <c r="U260" s="238"/>
      <c r="V260" s="238"/>
      <c r="W260" s="238"/>
      <c r="X260" s="239"/>
      <c r="Y260" s="73"/>
      <c r="Z260" s="91" t="n">
        <f aca="false">SUM(Z257:Z259)</f>
        <v>20.734</v>
      </c>
      <c r="AA260" s="73"/>
    </row>
    <row r="261" customFormat="false" ht="15" hidden="false" customHeight="false" outlineLevel="0" collapsed="false">
      <c r="A261" s="73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93" t="s">
        <v>310</v>
      </c>
      <c r="S261" s="73"/>
      <c r="T261" s="73"/>
      <c r="U261" s="73"/>
      <c r="V261" s="73"/>
      <c r="W261" s="73"/>
      <c r="X261" s="239"/>
      <c r="Y261" s="73"/>
      <c r="Z261" s="73"/>
      <c r="AA261" s="73"/>
    </row>
    <row r="262" customFormat="false" ht="15" hidden="false" customHeight="false" outlineLevel="0" collapsed="false">
      <c r="A262" s="73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 t="s">
        <v>311</v>
      </c>
      <c r="S262" s="73"/>
      <c r="T262" s="73"/>
      <c r="U262" s="73"/>
      <c r="V262" s="73" t="s">
        <v>312</v>
      </c>
      <c r="W262" s="73"/>
      <c r="X262" s="239" t="n">
        <v>3</v>
      </c>
      <c r="Y262" s="219" t="n">
        <f aca="false">Z255</f>
        <v>42.032</v>
      </c>
      <c r="Z262" s="219" t="n">
        <f aca="false">X262%*Y262</f>
        <v>1.26096</v>
      </c>
      <c r="AA262" s="73"/>
    </row>
    <row r="263" customFormat="false" ht="15" hidden="false" customHeight="false" outlineLevel="0" collapsed="false">
      <c r="A263" s="73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240" t="s">
        <v>672</v>
      </c>
      <c r="R263" s="240" t="s">
        <v>672</v>
      </c>
      <c r="S263" s="240" t="s">
        <v>672</v>
      </c>
      <c r="T263" s="240" t="s">
        <v>672</v>
      </c>
      <c r="U263" s="240" t="s">
        <v>672</v>
      </c>
      <c r="V263" s="240" t="s">
        <v>672</v>
      </c>
      <c r="W263" s="240" t="s">
        <v>672</v>
      </c>
      <c r="X263" s="240" t="s">
        <v>672</v>
      </c>
      <c r="Y263" s="240" t="s">
        <v>672</v>
      </c>
      <c r="Z263" s="98" t="n">
        <f aca="false">SUM(Z262)</f>
        <v>1.26096</v>
      </c>
      <c r="AA263" s="73"/>
    </row>
    <row r="264" customFormat="false" ht="15" hidden="false" customHeight="false" outlineLevel="0" collapsed="false">
      <c r="A264" s="73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73"/>
      <c r="S264" s="73"/>
      <c r="T264" s="73"/>
      <c r="U264" s="73"/>
      <c r="V264" s="73"/>
      <c r="W264" s="73"/>
      <c r="X264" s="73"/>
      <c r="Y264" s="73"/>
      <c r="Z264" s="83"/>
      <c r="AA264" s="73"/>
    </row>
    <row r="265" customFormat="false" ht="15" hidden="false" customHeight="false" outlineLevel="0" collapsed="false">
      <c r="A265" s="73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83" t="s">
        <v>278</v>
      </c>
      <c r="R265" s="83"/>
      <c r="S265" s="83" t="s">
        <v>685</v>
      </c>
      <c r="T265" s="83"/>
      <c r="U265" s="83"/>
      <c r="V265" s="83"/>
      <c r="W265" s="83"/>
      <c r="X265" s="83"/>
      <c r="Y265" s="83"/>
      <c r="Z265" s="73"/>
      <c r="AA265" s="73"/>
    </row>
    <row r="266" customFormat="false" ht="15" hidden="false" customHeight="false" outlineLevel="0" collapsed="false">
      <c r="A266" s="73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83" t="s">
        <v>279</v>
      </c>
      <c r="R266" s="83" t="s">
        <v>679</v>
      </c>
      <c r="S266" s="83" t="s">
        <v>281</v>
      </c>
      <c r="T266" s="90" t="n">
        <v>250</v>
      </c>
      <c r="U266" s="90" t="s">
        <v>282</v>
      </c>
      <c r="V266" s="90" t="n">
        <f aca="false">T266</f>
        <v>250</v>
      </c>
      <c r="W266" s="90" t="s">
        <v>283</v>
      </c>
      <c r="X266" s="83"/>
      <c r="Y266" s="83" t="s">
        <v>297</v>
      </c>
      <c r="Z266" s="91" t="n">
        <f aca="false">Z272+Z276+Z280</f>
        <v>5.5639628445</v>
      </c>
      <c r="AA266" s="73"/>
    </row>
    <row r="267" customFormat="false" ht="15" hidden="false" customHeight="false" outlineLevel="0" collapsed="false">
      <c r="A267" s="73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83" t="s">
        <v>284</v>
      </c>
      <c r="R267" s="83" t="s">
        <v>285</v>
      </c>
      <c r="S267" s="83"/>
      <c r="T267" s="238"/>
      <c r="U267" s="238"/>
      <c r="V267" s="90" t="s">
        <v>123</v>
      </c>
      <c r="W267" s="90" t="s">
        <v>286</v>
      </c>
      <c r="X267" s="83" t="s">
        <v>287</v>
      </c>
      <c r="Y267" s="83" t="s">
        <v>288</v>
      </c>
      <c r="Z267" s="83" t="s">
        <v>289</v>
      </c>
      <c r="AA267" s="73"/>
    </row>
    <row r="268" customFormat="false" ht="15" hidden="false" customHeight="false" outlineLevel="0" collapsed="false">
      <c r="A268" s="73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93" t="s">
        <v>290</v>
      </c>
      <c r="S268" s="73"/>
      <c r="T268" s="238"/>
      <c r="U268" s="238"/>
      <c r="V268" s="238"/>
      <c r="W268" s="238"/>
      <c r="X268" s="73"/>
      <c r="Y268" s="73"/>
      <c r="Z268" s="73"/>
      <c r="AA268" s="73"/>
    </row>
    <row r="269" customFormat="false" ht="15" hidden="false" customHeight="false" outlineLevel="0" collapsed="false">
      <c r="A269" s="73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73" t="s">
        <v>291</v>
      </c>
      <c r="S269" s="73"/>
      <c r="T269" s="238"/>
      <c r="U269" s="238"/>
      <c r="V269" s="238" t="s">
        <v>292</v>
      </c>
      <c r="W269" s="238" t="n">
        <v>1</v>
      </c>
      <c r="X269" s="239" t="n">
        <f aca="false">W269*8/$T$266</f>
        <v>0.032</v>
      </c>
      <c r="Y269" s="219" t="n">
        <v>28.94</v>
      </c>
      <c r="Z269" s="219" t="n">
        <f aca="false">X269*Y269</f>
        <v>0.92608</v>
      </c>
      <c r="AA269" s="73"/>
    </row>
    <row r="270" customFormat="false" ht="15" hidden="false" customHeight="false" outlineLevel="0" collapsed="false">
      <c r="A270" s="73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 t="s">
        <v>680</v>
      </c>
      <c r="S270" s="73"/>
      <c r="T270" s="238"/>
      <c r="U270" s="238"/>
      <c r="V270" s="238" t="s">
        <v>292</v>
      </c>
      <c r="W270" s="238" t="n">
        <v>1</v>
      </c>
      <c r="X270" s="239" t="n">
        <f aca="false">W270*8/$T$266</f>
        <v>0.032</v>
      </c>
      <c r="Y270" s="219" t="n">
        <v>23.6</v>
      </c>
      <c r="Z270" s="219" t="n">
        <f aca="false">X270*Y270</f>
        <v>0.7552</v>
      </c>
      <c r="AA270" s="73"/>
    </row>
    <row r="271" customFormat="false" ht="15" hidden="false" customHeight="false" outlineLevel="0" collapsed="false">
      <c r="A271" s="73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73"/>
      <c r="S271" s="73"/>
      <c r="T271" s="238"/>
      <c r="U271" s="238"/>
      <c r="V271" s="238"/>
      <c r="W271" s="238"/>
      <c r="X271" s="239"/>
      <c r="Y271" s="219"/>
      <c r="Z271" s="219"/>
      <c r="AA271" s="73"/>
    </row>
    <row r="272" customFormat="false" ht="15" hidden="false" customHeight="false" outlineLevel="0" collapsed="false">
      <c r="A272" s="73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73"/>
      <c r="S272" s="73"/>
      <c r="T272" s="238"/>
      <c r="U272" s="238"/>
      <c r="V272" s="238"/>
      <c r="W272" s="238"/>
      <c r="X272" s="239"/>
      <c r="Y272" s="219"/>
      <c r="Z272" s="91" t="n">
        <f aca="false">SUM(Z269:Z270)</f>
        <v>1.68128</v>
      </c>
      <c r="AA272" s="73"/>
    </row>
    <row r="273" customFormat="false" ht="15" hidden="false" customHeight="false" outlineLevel="0" collapsed="false">
      <c r="A273" s="73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93" t="s">
        <v>295</v>
      </c>
      <c r="S273" s="73"/>
      <c r="T273" s="238"/>
      <c r="U273" s="238"/>
      <c r="V273" s="238"/>
      <c r="W273" s="238"/>
      <c r="X273" s="239"/>
      <c r="Y273" s="219"/>
      <c r="Z273" s="219"/>
      <c r="AA273" s="73"/>
    </row>
    <row r="274" customFormat="false" ht="15" hidden="false" customHeight="false" outlineLevel="0" collapsed="false">
      <c r="A274" s="73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 t="s">
        <v>296</v>
      </c>
      <c r="S274" s="73"/>
      <c r="T274" s="238"/>
      <c r="U274" s="238"/>
      <c r="V274" s="238" t="s">
        <v>297</v>
      </c>
      <c r="W274" s="238"/>
      <c r="X274" s="239" t="n">
        <v>0.03</v>
      </c>
      <c r="Y274" s="219" t="n">
        <v>2.64</v>
      </c>
      <c r="Z274" s="219" t="n">
        <f aca="false">X274*Y274</f>
        <v>0.0792</v>
      </c>
      <c r="AA274" s="73"/>
    </row>
    <row r="275" customFormat="false" ht="15" hidden="false" customHeight="false" outlineLevel="0" collapsed="false">
      <c r="A275" s="73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73" t="s">
        <v>681</v>
      </c>
      <c r="S275" s="73"/>
      <c r="T275" s="238"/>
      <c r="U275" s="238"/>
      <c r="V275" s="238" t="s">
        <v>297</v>
      </c>
      <c r="W275" s="238"/>
      <c r="X275" s="239" t="n">
        <v>1.05</v>
      </c>
      <c r="Y275" s="219" t="n">
        <f aca="false">1012.71*3.379/1000</f>
        <v>3.42194709</v>
      </c>
      <c r="Z275" s="219" t="n">
        <f aca="false">X275*Y275</f>
        <v>3.5930444445</v>
      </c>
      <c r="AA275" s="73"/>
    </row>
    <row r="276" customFormat="false" ht="15" hidden="false" customHeight="false" outlineLevel="0" collapsed="false">
      <c r="A276" s="73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73"/>
      <c r="S276" s="73"/>
      <c r="T276" s="238"/>
      <c r="U276" s="238"/>
      <c r="V276" s="238"/>
      <c r="W276" s="238"/>
      <c r="X276" s="239"/>
      <c r="Y276" s="219"/>
      <c r="Z276" s="91" t="n">
        <f aca="false">SUM(Z274:Z275)</f>
        <v>3.6722444445</v>
      </c>
      <c r="AA276" s="73"/>
    </row>
    <row r="277" customFormat="false" ht="15" hidden="false" customHeight="false" outlineLevel="0" collapsed="false">
      <c r="A277" s="73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93" t="s">
        <v>318</v>
      </c>
      <c r="S277" s="73"/>
      <c r="T277" s="238"/>
      <c r="U277" s="238"/>
      <c r="V277" s="238"/>
      <c r="W277" s="238"/>
      <c r="X277" s="239"/>
      <c r="Y277" s="219"/>
      <c r="Z277" s="219"/>
      <c r="AA277" s="73"/>
    </row>
    <row r="278" customFormat="false" ht="15" hidden="false" customHeight="false" outlineLevel="0" collapsed="false">
      <c r="A278" s="73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 t="s">
        <v>311</v>
      </c>
      <c r="S278" s="73"/>
      <c r="T278" s="238"/>
      <c r="U278" s="238"/>
      <c r="V278" s="238" t="s">
        <v>312</v>
      </c>
      <c r="W278" s="238"/>
      <c r="X278" s="239" t="n">
        <v>3</v>
      </c>
      <c r="Y278" s="219" t="n">
        <f aca="false">Z272</f>
        <v>1.68128</v>
      </c>
      <c r="Z278" s="219" t="n">
        <f aca="false">X278%*Y278</f>
        <v>0.0504384</v>
      </c>
      <c r="AA278" s="73"/>
    </row>
    <row r="279" customFormat="false" ht="15" hidden="false" customHeight="false" outlineLevel="0" collapsed="false">
      <c r="A279" s="73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73" t="s">
        <v>682</v>
      </c>
      <c r="S279" s="73"/>
      <c r="T279" s="238"/>
      <c r="U279" s="238"/>
      <c r="V279" s="238" t="s">
        <v>292</v>
      </c>
      <c r="W279" s="238" t="n">
        <v>1</v>
      </c>
      <c r="X279" s="239" t="n">
        <f aca="false">W279*8/$T$266</f>
        <v>0.032</v>
      </c>
      <c r="Y279" s="247" t="n">
        <v>5</v>
      </c>
      <c r="Z279" s="219" t="n">
        <f aca="false">X279*Y279</f>
        <v>0.16</v>
      </c>
      <c r="AA279" s="73"/>
    </row>
    <row r="280" customFormat="false" ht="15" hidden="false" customHeight="false" outlineLevel="0" collapsed="false">
      <c r="A280" s="73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240" t="s">
        <v>672</v>
      </c>
      <c r="R280" s="240" t="s">
        <v>672</v>
      </c>
      <c r="S280" s="240" t="s">
        <v>672</v>
      </c>
      <c r="T280" s="240" t="s">
        <v>672</v>
      </c>
      <c r="U280" s="240" t="s">
        <v>672</v>
      </c>
      <c r="V280" s="240" t="s">
        <v>672</v>
      </c>
      <c r="W280" s="240" t="s">
        <v>672</v>
      </c>
      <c r="X280" s="240" t="s">
        <v>672</v>
      </c>
      <c r="Y280" s="248" t="s">
        <v>672</v>
      </c>
      <c r="Z280" s="98" t="n">
        <f aca="false">SUM(Z278:Z279)</f>
        <v>0.2104384</v>
      </c>
      <c r="AA280" s="73"/>
    </row>
    <row r="281" customFormat="false" ht="15" hidden="false" customHeight="false" outlineLevel="0" collapsed="false">
      <c r="A281" s="73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73"/>
      <c r="S281" s="73"/>
      <c r="T281" s="73"/>
      <c r="U281" s="73"/>
      <c r="V281" s="73"/>
      <c r="W281" s="73"/>
      <c r="X281" s="73"/>
      <c r="Y281" s="219"/>
      <c r="Z281" s="219"/>
      <c r="AA281" s="73"/>
    </row>
    <row r="282" customFormat="false" ht="15" hidden="false" customHeight="false" outlineLevel="0" collapsed="false">
      <c r="A282" s="73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3"/>
      <c r="X282" s="73"/>
      <c r="Y282" s="73"/>
      <c r="Z282" s="73"/>
      <c r="AA282" s="73"/>
    </row>
    <row r="283" customFormat="false" ht="15" hidden="false" customHeight="false" outlineLevel="0" collapsed="false">
      <c r="A283" s="73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83"/>
      <c r="R283" s="83"/>
      <c r="S283" s="83"/>
      <c r="T283" s="83"/>
      <c r="U283" s="83"/>
      <c r="V283" s="83"/>
      <c r="W283" s="83"/>
      <c r="X283" s="73"/>
      <c r="Y283" s="73"/>
      <c r="Z283" s="73"/>
      <c r="AA283" s="73"/>
    </row>
    <row r="284" customFormat="false" ht="15" hidden="false" customHeight="false" outlineLevel="0" collapsed="false">
      <c r="A284" s="73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</row>
    <row r="285" customFormat="false" ht="15" hidden="false" customHeight="false" outlineLevel="0" collapsed="false">
      <c r="A285" s="73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</row>
    <row r="286" customFormat="false" ht="15" hidden="false" customHeight="false" outlineLevel="0" collapsed="false">
      <c r="A286" s="73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</row>
    <row r="287" customFormat="false" ht="15" hidden="false" customHeight="false" outlineLevel="0" collapsed="false">
      <c r="A287" s="73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</row>
    <row r="288" customFormat="false" ht="15" hidden="false" customHeight="false" outlineLevel="0" collapsed="false">
      <c r="A288" s="73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</row>
    <row r="289" customFormat="false" ht="15" hidden="false" customHeight="false" outlineLevel="0" collapsed="false">
      <c r="A289" s="73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</row>
    <row r="290" customFormat="false" ht="15" hidden="false" customHeight="false" outlineLevel="0" collapsed="false">
      <c r="A290" s="73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</row>
    <row r="291" customFormat="false" ht="15" hidden="false" customHeight="false" outlineLevel="0" collapsed="false">
      <c r="A291" s="73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</row>
    <row r="292" customFormat="false" ht="15" hidden="false" customHeight="false" outlineLevel="0" collapsed="false">
      <c r="A292" s="73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</row>
    <row r="293" customFormat="false" ht="15" hidden="false" customHeight="false" outlineLevel="0" collapsed="false">
      <c r="A293" s="73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</row>
    <row r="294" customFormat="false" ht="15" hidden="false" customHeight="false" outlineLevel="0" collapsed="false">
      <c r="A294" s="73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</row>
    <row r="295" customFormat="false" ht="15" hidden="false" customHeight="false" outlineLevel="0" collapsed="false">
      <c r="A295" s="73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</row>
    <row r="296" customFormat="false" ht="15" hidden="false" customHeight="false" outlineLevel="0" collapsed="false">
      <c r="A296" s="73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</row>
    <row r="297" customFormat="false" ht="15" hidden="false" customHeight="false" outlineLevel="0" collapsed="false">
      <c r="A297" s="73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</row>
    <row r="298" customFormat="false" ht="15" hidden="false" customHeight="false" outlineLevel="0" collapsed="false">
      <c r="A298" s="73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</row>
    <row r="299" customFormat="false" ht="15" hidden="false" customHeight="false" outlineLevel="0" collapsed="false">
      <c r="A299" s="73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</row>
    <row r="300" customFormat="false" ht="15" hidden="false" customHeight="false" outlineLevel="0" collapsed="false">
      <c r="A300" s="73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</row>
    <row r="301" customFormat="false" ht="15" hidden="false" customHeight="false" outlineLevel="0" collapsed="false">
      <c r="A301" s="73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83"/>
      <c r="R301" s="83"/>
      <c r="S301" s="83"/>
      <c r="T301" s="83"/>
      <c r="U301" s="83"/>
      <c r="V301" s="83"/>
      <c r="W301" s="83"/>
      <c r="X301" s="83"/>
      <c r="Y301" s="83"/>
      <c r="Z301" s="83"/>
      <c r="AA301" s="73"/>
    </row>
    <row r="302" customFormat="false" ht="15" hidden="false" customHeight="false" outlineLevel="0" collapsed="false">
      <c r="A302" s="73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83"/>
      <c r="R302" s="83"/>
      <c r="S302" s="83"/>
      <c r="T302" s="73"/>
      <c r="U302" s="73"/>
      <c r="V302" s="83"/>
      <c r="W302" s="83"/>
      <c r="X302" s="83"/>
      <c r="Y302" s="83"/>
      <c r="Z302" s="83"/>
      <c r="AA302" s="73"/>
    </row>
    <row r="303" customFormat="false" ht="15" hidden="false" customHeight="false" outlineLevel="0" collapsed="false">
      <c r="A303" s="73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93"/>
      <c r="S303" s="73"/>
      <c r="T303" s="73"/>
      <c r="U303" s="73"/>
      <c r="V303" s="73"/>
      <c r="W303" s="73"/>
      <c r="X303" s="73"/>
      <c r="Y303" s="73"/>
      <c r="Z303" s="73"/>
      <c r="AA303" s="73"/>
    </row>
    <row r="304" customFormat="false" ht="15" hidden="false" customHeight="false" outlineLevel="0" collapsed="false">
      <c r="A304" s="73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73"/>
      <c r="S304" s="73"/>
      <c r="T304" s="73"/>
      <c r="U304" s="73"/>
      <c r="V304" s="73"/>
      <c r="W304" s="73"/>
      <c r="X304" s="73"/>
      <c r="Y304" s="73"/>
      <c r="Z304" s="73"/>
      <c r="AA304" s="73"/>
    </row>
    <row r="305" customFormat="false" ht="15" hidden="false" customHeight="false" outlineLevel="0" collapsed="false">
      <c r="A305" s="73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73"/>
      <c r="S305" s="73"/>
      <c r="T305" s="73"/>
      <c r="U305" s="73"/>
      <c r="V305" s="73"/>
      <c r="W305" s="73"/>
      <c r="X305" s="73"/>
      <c r="Y305" s="73"/>
      <c r="Z305" s="73"/>
      <c r="AA305" s="73"/>
    </row>
    <row r="306" customFormat="false" ht="15" hidden="false" customHeight="false" outlineLevel="0" collapsed="false">
      <c r="A306" s="73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  <c r="S306" s="73"/>
      <c r="T306" s="73"/>
      <c r="U306" s="73"/>
      <c r="V306" s="73"/>
      <c r="W306" s="73"/>
      <c r="X306" s="73"/>
      <c r="Y306" s="73"/>
      <c r="Z306" s="73"/>
      <c r="AA306" s="73"/>
    </row>
    <row r="307" customFormat="false" ht="15" hidden="false" customHeight="false" outlineLevel="0" collapsed="false">
      <c r="A307" s="73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73"/>
      <c r="S307" s="73"/>
      <c r="T307" s="73"/>
      <c r="U307" s="73"/>
      <c r="V307" s="73"/>
      <c r="W307" s="73"/>
      <c r="X307" s="73"/>
      <c r="Y307" s="73"/>
      <c r="Z307" s="83"/>
      <c r="AA307" s="73"/>
    </row>
    <row r="308" customFormat="false" ht="15" hidden="false" customHeight="false" outlineLevel="0" collapsed="false">
      <c r="A308" s="73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93"/>
      <c r="S308" s="73"/>
      <c r="T308" s="73"/>
      <c r="U308" s="73"/>
      <c r="V308" s="73"/>
      <c r="W308" s="73"/>
      <c r="X308" s="73"/>
      <c r="Y308" s="73"/>
      <c r="Z308" s="73"/>
      <c r="AA308" s="73"/>
    </row>
    <row r="309" customFormat="false" ht="15" hidden="false" customHeight="false" outlineLevel="0" collapsed="false">
      <c r="A309" s="73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73"/>
      <c r="S309" s="73"/>
      <c r="T309" s="73"/>
      <c r="U309" s="73"/>
      <c r="V309" s="73"/>
      <c r="W309" s="73"/>
      <c r="X309" s="73"/>
      <c r="Y309" s="73"/>
      <c r="Z309" s="73"/>
      <c r="AA309" s="73"/>
    </row>
    <row r="310" customFormat="false" ht="15" hidden="false" customHeight="false" outlineLevel="0" collapsed="false">
      <c r="A310" s="73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  <c r="S310" s="73"/>
      <c r="T310" s="73"/>
      <c r="U310" s="73"/>
      <c r="V310" s="73"/>
      <c r="W310" s="73"/>
      <c r="X310" s="73"/>
      <c r="Y310" s="73"/>
      <c r="Z310" s="73"/>
      <c r="AA310" s="73"/>
    </row>
    <row r="311" customFormat="false" ht="15" hidden="false" customHeight="false" outlineLevel="0" collapsed="false">
      <c r="A311" s="73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73"/>
      <c r="S311" s="73"/>
      <c r="T311" s="73"/>
      <c r="U311" s="73"/>
      <c r="V311" s="73"/>
      <c r="W311" s="73"/>
      <c r="X311" s="73"/>
      <c r="Y311" s="73"/>
      <c r="Z311" s="73"/>
      <c r="AA311" s="73"/>
    </row>
    <row r="312" customFormat="false" ht="15" hidden="false" customHeight="false" outlineLevel="0" collapsed="false">
      <c r="A312" s="73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73"/>
      <c r="S312" s="73"/>
      <c r="T312" s="73"/>
      <c r="U312" s="73"/>
      <c r="V312" s="73"/>
      <c r="W312" s="73"/>
      <c r="X312" s="73"/>
      <c r="Y312" s="73"/>
      <c r="Z312" s="73"/>
      <c r="AA312" s="73"/>
    </row>
    <row r="313" customFormat="false" ht="15" hidden="false" customHeight="false" outlineLevel="0" collapsed="false">
      <c r="A313" s="73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73"/>
      <c r="S313" s="73"/>
      <c r="T313" s="73"/>
      <c r="U313" s="73"/>
      <c r="V313" s="73"/>
      <c r="W313" s="73"/>
      <c r="X313" s="73"/>
      <c r="Y313" s="73"/>
      <c r="Z313" s="73"/>
      <c r="AA313" s="73"/>
    </row>
    <row r="314" customFormat="false" ht="15" hidden="false" customHeight="false" outlineLevel="0" collapsed="false">
      <c r="A314" s="73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  <c r="S314" s="73"/>
      <c r="T314" s="73"/>
      <c r="U314" s="73"/>
      <c r="V314" s="73"/>
      <c r="W314" s="73"/>
      <c r="X314" s="73"/>
      <c r="Y314" s="73"/>
      <c r="Z314" s="83"/>
      <c r="AA314" s="73"/>
    </row>
    <row r="315" customFormat="false" ht="15" hidden="false" customHeight="false" outlineLevel="0" collapsed="false">
      <c r="A315" s="73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93"/>
      <c r="S315" s="73"/>
      <c r="T315" s="73"/>
      <c r="U315" s="73"/>
      <c r="V315" s="73"/>
      <c r="W315" s="73"/>
      <c r="X315" s="73"/>
      <c r="Y315" s="73"/>
      <c r="Z315" s="73"/>
      <c r="AA315" s="73"/>
    </row>
    <row r="316" customFormat="false" ht="15" hidden="false" customHeight="false" outlineLevel="0" collapsed="false">
      <c r="A316" s="73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73"/>
      <c r="S316" s="73"/>
      <c r="T316" s="73"/>
      <c r="U316" s="73"/>
      <c r="V316" s="73"/>
      <c r="W316" s="73"/>
      <c r="X316" s="73"/>
      <c r="Y316" s="73"/>
      <c r="Z316" s="73"/>
      <c r="AA316" s="73"/>
    </row>
    <row r="317" customFormat="false" ht="15" hidden="false" customHeight="false" outlineLevel="0" collapsed="false">
      <c r="A317" s="73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73"/>
      <c r="S317" s="73"/>
      <c r="T317" s="73"/>
      <c r="U317" s="73"/>
      <c r="V317" s="73"/>
      <c r="W317" s="73"/>
      <c r="X317" s="73"/>
      <c r="Y317" s="73"/>
      <c r="Z317" s="73"/>
      <c r="AA317" s="73"/>
    </row>
    <row r="318" customFormat="false" ht="15" hidden="false" customHeight="false" outlineLevel="0" collapsed="false">
      <c r="A318" s="73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  <c r="S318" s="73"/>
      <c r="T318" s="73"/>
      <c r="U318" s="73"/>
      <c r="V318" s="73"/>
      <c r="W318" s="73"/>
      <c r="X318" s="73"/>
      <c r="Y318" s="73"/>
      <c r="Z318" s="73"/>
      <c r="AA318" s="73"/>
    </row>
    <row r="319" customFormat="false" ht="15" hidden="false" customHeight="false" outlineLevel="0" collapsed="false">
      <c r="A319" s="73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240"/>
      <c r="R319" s="240"/>
      <c r="S319" s="240"/>
      <c r="T319" s="240"/>
      <c r="U319" s="240"/>
      <c r="V319" s="240"/>
      <c r="W319" s="240"/>
      <c r="X319" s="240"/>
      <c r="Y319" s="240"/>
      <c r="Z319" s="250"/>
      <c r="AA319" s="73"/>
    </row>
    <row r="320" customFormat="false" ht="15" hidden="false" customHeight="false" outlineLevel="0" collapsed="false">
      <c r="A320" s="73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73"/>
      <c r="S320" s="73"/>
      <c r="T320" s="73"/>
      <c r="U320" s="73"/>
      <c r="V320" s="73"/>
      <c r="W320" s="73"/>
      <c r="X320" s="73"/>
      <c r="Y320" s="73"/>
      <c r="Z320" s="73"/>
      <c r="AA320" s="73"/>
    </row>
    <row r="321" customFormat="false" ht="15" hidden="false" customHeight="false" outlineLevel="0" collapsed="false">
      <c r="A321" s="73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83"/>
      <c r="R321" s="83"/>
      <c r="S321" s="83"/>
      <c r="T321" s="83"/>
      <c r="U321" s="83"/>
      <c r="V321" s="83"/>
      <c r="W321" s="83"/>
      <c r="X321" s="83"/>
      <c r="Y321" s="73"/>
      <c r="Z321" s="73"/>
      <c r="AA321" s="73"/>
    </row>
    <row r="322" customFormat="false" ht="15" hidden="false" customHeight="false" outlineLevel="0" collapsed="false">
      <c r="A322" s="73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83"/>
      <c r="R322" s="83"/>
      <c r="S322" s="83"/>
      <c r="T322" s="83"/>
      <c r="U322" s="83"/>
      <c r="V322" s="83"/>
      <c r="W322" s="83"/>
      <c r="X322" s="83"/>
      <c r="Y322" s="83"/>
      <c r="Z322" s="83"/>
      <c r="AA322" s="73"/>
    </row>
    <row r="323" customFormat="false" ht="15" hidden="false" customHeight="false" outlineLevel="0" collapsed="false">
      <c r="A323" s="73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83"/>
      <c r="R323" s="83"/>
      <c r="S323" s="83"/>
      <c r="T323" s="73"/>
      <c r="U323" s="73"/>
      <c r="V323" s="83"/>
      <c r="W323" s="83"/>
      <c r="X323" s="83"/>
      <c r="Y323" s="83"/>
      <c r="Z323" s="83"/>
      <c r="AA323" s="73"/>
    </row>
    <row r="324" customFormat="false" ht="15" hidden="false" customHeight="false" outlineLevel="0" collapsed="false">
      <c r="A324" s="73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93"/>
      <c r="S324" s="73"/>
      <c r="T324" s="73"/>
      <c r="U324" s="73"/>
      <c r="V324" s="73"/>
      <c r="W324" s="73"/>
      <c r="X324" s="73"/>
      <c r="Y324" s="73"/>
      <c r="Z324" s="73"/>
      <c r="AA324" s="73"/>
    </row>
    <row r="325" customFormat="false" ht="15" hidden="false" customHeight="false" outlineLevel="0" collapsed="false">
      <c r="A325" s="73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73"/>
      <c r="S325" s="73"/>
      <c r="T325" s="73"/>
      <c r="U325" s="73"/>
      <c r="V325" s="73"/>
      <c r="W325" s="73"/>
      <c r="X325" s="73"/>
      <c r="Y325" s="73"/>
      <c r="Z325" s="73"/>
      <c r="AA325" s="73"/>
    </row>
    <row r="326" customFormat="false" ht="15" hidden="false" customHeight="false" outlineLevel="0" collapsed="false">
      <c r="A326" s="73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  <c r="S326" s="73"/>
      <c r="T326" s="73"/>
      <c r="U326" s="73"/>
      <c r="V326" s="73"/>
      <c r="W326" s="73"/>
      <c r="X326" s="73"/>
      <c r="Y326" s="73"/>
      <c r="Z326" s="73"/>
      <c r="AA326" s="73"/>
    </row>
    <row r="327" customFormat="false" ht="15" hidden="false" customHeight="false" outlineLevel="0" collapsed="false">
      <c r="A327" s="73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73"/>
      <c r="S327" s="73"/>
      <c r="T327" s="73"/>
      <c r="U327" s="73"/>
      <c r="V327" s="73"/>
      <c r="W327" s="73"/>
      <c r="X327" s="73"/>
      <c r="Y327" s="73"/>
      <c r="Z327" s="83"/>
      <c r="AA327" s="73"/>
    </row>
    <row r="328" customFormat="false" ht="15" hidden="false" customHeight="false" outlineLevel="0" collapsed="false">
      <c r="A328" s="73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93"/>
      <c r="S328" s="73"/>
      <c r="T328" s="73"/>
      <c r="U328" s="73"/>
      <c r="V328" s="73"/>
      <c r="W328" s="73"/>
      <c r="X328" s="73"/>
      <c r="Y328" s="73"/>
      <c r="Z328" s="73"/>
      <c r="AA328" s="73"/>
    </row>
    <row r="329" customFormat="false" ht="15" hidden="false" customHeight="false" outlineLevel="0" collapsed="false">
      <c r="A329" s="73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73"/>
      <c r="S329" s="73"/>
      <c r="T329" s="73"/>
      <c r="U329" s="73"/>
      <c r="V329" s="73"/>
      <c r="W329" s="73"/>
      <c r="X329" s="73"/>
      <c r="Y329" s="73"/>
      <c r="Z329" s="73"/>
      <c r="AA329" s="73"/>
    </row>
    <row r="330" customFormat="false" ht="15" hidden="false" customHeight="false" outlineLevel="0" collapsed="false">
      <c r="A330" s="73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  <c r="S330" s="73"/>
      <c r="T330" s="73"/>
      <c r="U330" s="73"/>
      <c r="V330" s="73"/>
      <c r="W330" s="73"/>
      <c r="X330" s="73"/>
      <c r="Y330" s="73"/>
      <c r="Z330" s="73"/>
      <c r="AA330" s="73"/>
    </row>
    <row r="331" customFormat="false" ht="15" hidden="false" customHeight="false" outlineLevel="0" collapsed="false">
      <c r="A331" s="73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73"/>
      <c r="S331" s="73"/>
      <c r="T331" s="73"/>
      <c r="U331" s="73"/>
      <c r="V331" s="73"/>
      <c r="W331" s="73"/>
      <c r="X331" s="73"/>
      <c r="Y331" s="73"/>
      <c r="Z331" s="73"/>
      <c r="AA331" s="73"/>
    </row>
    <row r="332" customFormat="false" ht="15" hidden="false" customHeight="false" outlineLevel="0" collapsed="false">
      <c r="A332" s="73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73"/>
      <c r="S332" s="73"/>
      <c r="T332" s="73"/>
      <c r="U332" s="73"/>
      <c r="V332" s="73"/>
      <c r="W332" s="73"/>
      <c r="X332" s="73"/>
      <c r="Y332" s="73"/>
      <c r="Z332" s="83"/>
      <c r="AA332" s="73"/>
    </row>
    <row r="333" customFormat="false" ht="15" hidden="false" customHeight="false" outlineLevel="0" collapsed="false">
      <c r="A333" s="73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93"/>
      <c r="S333" s="73"/>
      <c r="T333" s="73"/>
      <c r="U333" s="73"/>
      <c r="V333" s="73"/>
      <c r="W333" s="73"/>
      <c r="X333" s="73"/>
      <c r="Y333" s="73"/>
      <c r="Z333" s="73"/>
      <c r="AA333" s="73"/>
    </row>
    <row r="334" customFormat="false" ht="15" hidden="false" customHeight="false" outlineLevel="0" collapsed="false">
      <c r="A334" s="73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  <c r="S334" s="73"/>
      <c r="T334" s="73"/>
      <c r="U334" s="73"/>
      <c r="V334" s="73"/>
      <c r="W334" s="73"/>
      <c r="X334" s="73"/>
      <c r="Y334" s="73"/>
      <c r="Z334" s="73"/>
      <c r="AA334" s="73"/>
    </row>
    <row r="335" customFormat="false" ht="15" hidden="false" customHeight="false" outlineLevel="0" collapsed="false">
      <c r="A335" s="73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240"/>
      <c r="R335" s="240"/>
      <c r="S335" s="240"/>
      <c r="T335" s="240"/>
      <c r="U335" s="240"/>
      <c r="V335" s="240"/>
      <c r="W335" s="240"/>
      <c r="X335" s="240"/>
      <c r="Y335" s="240"/>
      <c r="Z335" s="250"/>
      <c r="AA335" s="73"/>
    </row>
    <row r="336" customFormat="false" ht="15" hidden="false" customHeight="false" outlineLevel="0" collapsed="false">
      <c r="A336" s="73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73"/>
      <c r="S336" s="73"/>
      <c r="T336" s="73"/>
      <c r="U336" s="73"/>
      <c r="V336" s="73"/>
      <c r="W336" s="73"/>
      <c r="X336" s="73"/>
      <c r="Y336" s="73"/>
      <c r="Z336" s="73"/>
      <c r="AA336" s="73"/>
    </row>
    <row r="337" customFormat="false" ht="15" hidden="false" customHeight="false" outlineLevel="0" collapsed="false">
      <c r="A337" s="73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83"/>
      <c r="R337" s="83"/>
      <c r="S337" s="83"/>
      <c r="T337" s="83"/>
      <c r="U337" s="83"/>
      <c r="V337" s="83"/>
      <c r="W337" s="83"/>
      <c r="X337" s="83"/>
      <c r="Y337" s="73"/>
      <c r="Z337" s="73"/>
      <c r="AA337" s="73"/>
    </row>
    <row r="338" customFormat="false" ht="15" hidden="false" customHeight="false" outlineLevel="0" collapsed="false">
      <c r="A338" s="73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83"/>
      <c r="R338" s="83"/>
      <c r="S338" s="83"/>
      <c r="T338" s="83"/>
      <c r="U338" s="83"/>
      <c r="V338" s="83"/>
      <c r="W338" s="83"/>
      <c r="X338" s="83"/>
      <c r="Y338" s="83"/>
      <c r="Z338" s="83"/>
      <c r="AA338" s="73"/>
    </row>
    <row r="339" customFormat="false" ht="15" hidden="false" customHeight="false" outlineLevel="0" collapsed="false">
      <c r="A339" s="73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83"/>
      <c r="R339" s="83"/>
      <c r="S339" s="83"/>
      <c r="T339" s="73"/>
      <c r="U339" s="73"/>
      <c r="V339" s="83"/>
      <c r="W339" s="83"/>
      <c r="X339" s="83"/>
      <c r="Y339" s="83"/>
      <c r="Z339" s="83"/>
      <c r="AA339" s="73"/>
    </row>
    <row r="340" customFormat="false" ht="15" hidden="false" customHeight="false" outlineLevel="0" collapsed="false">
      <c r="A340" s="73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93"/>
      <c r="S340" s="73"/>
      <c r="T340" s="73"/>
      <c r="U340" s="73"/>
      <c r="V340" s="73"/>
      <c r="W340" s="73"/>
      <c r="X340" s="73"/>
      <c r="Y340" s="73"/>
      <c r="Z340" s="73"/>
      <c r="AA340" s="73"/>
    </row>
    <row r="341" customFormat="false" ht="15" hidden="false" customHeight="false" outlineLevel="0" collapsed="false">
      <c r="A341" s="73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73"/>
      <c r="S341" s="73"/>
      <c r="T341" s="73"/>
      <c r="U341" s="73"/>
      <c r="V341" s="73"/>
      <c r="W341" s="73"/>
      <c r="X341" s="73"/>
      <c r="Y341" s="73"/>
      <c r="Z341" s="73"/>
      <c r="AA341" s="73"/>
    </row>
    <row r="342" customFormat="false" ht="15" hidden="false" customHeight="false" outlineLevel="0" collapsed="false">
      <c r="A342" s="73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  <c r="S342" s="73"/>
      <c r="T342" s="73"/>
      <c r="U342" s="73"/>
      <c r="V342" s="73"/>
      <c r="W342" s="73"/>
      <c r="X342" s="73"/>
      <c r="Y342" s="73"/>
      <c r="Z342" s="73"/>
      <c r="AA342" s="73"/>
    </row>
    <row r="343" customFormat="false" ht="15" hidden="false" customHeight="false" outlineLevel="0" collapsed="false">
      <c r="A343" s="73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73"/>
      <c r="S343" s="73"/>
      <c r="T343" s="73"/>
      <c r="U343" s="73"/>
      <c r="V343" s="73"/>
      <c r="W343" s="73"/>
      <c r="X343" s="73"/>
      <c r="Y343" s="73"/>
      <c r="Z343" s="83"/>
      <c r="AA343" s="73"/>
    </row>
    <row r="344" customFormat="false" ht="15" hidden="false" customHeight="false" outlineLevel="0" collapsed="false">
      <c r="A344" s="73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93"/>
      <c r="S344" s="73"/>
      <c r="T344" s="73"/>
      <c r="U344" s="73"/>
      <c r="V344" s="73"/>
      <c r="W344" s="73"/>
      <c r="X344" s="73"/>
      <c r="Y344" s="73"/>
      <c r="Z344" s="73"/>
      <c r="AA344" s="73"/>
    </row>
    <row r="345" customFormat="false" ht="15" hidden="false" customHeight="false" outlineLevel="0" collapsed="false">
      <c r="A345" s="73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73"/>
      <c r="S345" s="73"/>
      <c r="T345" s="73"/>
      <c r="U345" s="73"/>
      <c r="V345" s="73"/>
      <c r="W345" s="73"/>
      <c r="X345" s="73"/>
      <c r="Y345" s="73"/>
      <c r="Z345" s="73"/>
      <c r="AA345" s="73"/>
    </row>
    <row r="346" customFormat="false" ht="15" hidden="false" customHeight="false" outlineLevel="0" collapsed="false">
      <c r="A346" s="73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  <c r="S346" s="73"/>
      <c r="T346" s="73"/>
      <c r="U346" s="73"/>
      <c r="V346" s="73"/>
      <c r="W346" s="73"/>
      <c r="X346" s="73"/>
      <c r="Y346" s="73"/>
      <c r="Z346" s="73"/>
      <c r="AA346" s="73"/>
    </row>
    <row r="347" customFormat="false" ht="15" hidden="false" customHeight="false" outlineLevel="0" collapsed="false">
      <c r="A347" s="73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73"/>
      <c r="S347" s="73"/>
      <c r="T347" s="73"/>
      <c r="U347" s="73"/>
      <c r="V347" s="73"/>
      <c r="W347" s="73"/>
      <c r="X347" s="73"/>
      <c r="Y347" s="73"/>
      <c r="Z347" s="83"/>
      <c r="AA347" s="73"/>
    </row>
    <row r="348" customFormat="false" ht="15" hidden="false" customHeight="false" outlineLevel="0" collapsed="false">
      <c r="A348" s="73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93"/>
      <c r="S348" s="73"/>
      <c r="T348" s="73"/>
      <c r="U348" s="73"/>
      <c r="V348" s="73"/>
      <c r="W348" s="73"/>
      <c r="X348" s="73"/>
      <c r="Y348" s="73"/>
      <c r="Z348" s="73"/>
      <c r="AA348" s="73"/>
    </row>
    <row r="349" customFormat="false" ht="15" hidden="false" customHeight="false" outlineLevel="0" collapsed="false">
      <c r="A349" s="73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73"/>
      <c r="S349" s="73"/>
      <c r="T349" s="73"/>
      <c r="U349" s="73"/>
      <c r="V349" s="73"/>
      <c r="W349" s="73"/>
      <c r="X349" s="73"/>
      <c r="Y349" s="73"/>
      <c r="Z349" s="73"/>
      <c r="AA349" s="73"/>
    </row>
    <row r="350" customFormat="false" ht="15" hidden="false" customHeight="false" outlineLevel="0" collapsed="false">
      <c r="A350" s="73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  <c r="S350" s="73"/>
      <c r="T350" s="73"/>
      <c r="U350" s="73"/>
      <c r="V350" s="73"/>
      <c r="W350" s="73"/>
      <c r="X350" s="73"/>
      <c r="Y350" s="244"/>
      <c r="Z350" s="73"/>
      <c r="AA350" s="73"/>
    </row>
    <row r="351" customFormat="false" ht="15" hidden="false" customHeight="false" outlineLevel="0" collapsed="false">
      <c r="A351" s="73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240"/>
      <c r="R351" s="240"/>
      <c r="S351" s="240"/>
      <c r="T351" s="240"/>
      <c r="U351" s="240"/>
      <c r="V351" s="240"/>
      <c r="W351" s="240"/>
      <c r="X351" s="240"/>
      <c r="Y351" s="240"/>
      <c r="Z351" s="250"/>
      <c r="AA351" s="7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Q165"/>
  <sheetViews>
    <sheetView showFormulas="false" showGridLines="true" showRowColHeaders="true" showZeros="true" rightToLeft="false" tabSelected="false" showOutlineSymbols="true" defaultGridColor="true" view="normal" topLeftCell="A62" colorId="64" zoomScale="100" zoomScaleNormal="100" zoomScalePageLayoutView="100" workbookViewId="0">
      <selection pane="topLeft" activeCell="G60" activeCellId="0" sqref="G60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</cols>
  <sheetData>
    <row r="2" customFormat="false" ht="15" hidden="false" customHeight="false" outlineLevel="0" collapsed="false">
      <c r="L2" s="157" t="s">
        <v>88</v>
      </c>
      <c r="M2" s="157" t="n">
        <f aca="false">'Datos iniciales '!D16</f>
        <v>91.46</v>
      </c>
    </row>
    <row r="3" customFormat="false" ht="15" hidden="false" customHeight="false" outlineLevel="0" collapsed="false">
      <c r="D3" s="36"/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157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85133.2127307938</v>
      </c>
      <c r="L4" s="157" t="s">
        <v>1369</v>
      </c>
      <c r="M4" s="157" t="n">
        <f aca="false">J4/M2</f>
        <v>930.824543306296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57" t="n">
        <v>0.29</v>
      </c>
      <c r="F6" s="227" t="s">
        <v>134</v>
      </c>
      <c r="G6" s="71" t="n">
        <f aca="false">E6*$M$2</f>
        <v>26.5234</v>
      </c>
      <c r="H6" s="28" t="n">
        <f aca="false">'APUS ARQUITECTURA'!J5</f>
        <v>135.824337926792</v>
      </c>
      <c r="I6" s="1" t="n">
        <f aca="false">G6*H6</f>
        <v>3602.52324456747</v>
      </c>
    </row>
    <row r="7" customFormat="false" ht="16.4" hidden="false" customHeight="false" outlineLevel="0" collapsed="false">
      <c r="A7" s="1" t="s">
        <v>759</v>
      </c>
      <c r="E7" s="57" t="n">
        <v>0.23</v>
      </c>
      <c r="F7" s="227" t="s">
        <v>134</v>
      </c>
      <c r="G7" s="71" t="n">
        <f aca="false">E7*$M$2</f>
        <v>21.0358</v>
      </c>
      <c r="H7" s="28" t="n">
        <f aca="false">'APUS ARQUITECTURA'!J32</f>
        <v>150.0657</v>
      </c>
      <c r="I7" s="1" t="n">
        <f aca="false">G7*H7</f>
        <v>3156.75205206</v>
      </c>
    </row>
    <row r="8" customFormat="false" ht="16.4" hidden="false" customHeight="false" outlineLevel="0" collapsed="false">
      <c r="A8" s="1" t="s">
        <v>761</v>
      </c>
      <c r="E8" s="57" t="n">
        <v>0.08</v>
      </c>
      <c r="F8" s="227" t="s">
        <v>134</v>
      </c>
      <c r="G8" s="71" t="n">
        <f aca="false">E8*$M$2</f>
        <v>7.3168</v>
      </c>
      <c r="H8" s="28" t="n">
        <f aca="false">'APUS ARQUITECTURA'!J50</f>
        <v>141.066794285714</v>
      </c>
      <c r="I8" s="1" t="n">
        <f aca="false">G8*H8</f>
        <v>1032.15752042971</v>
      </c>
    </row>
    <row r="9" customFormat="false" ht="15" hidden="false" customHeight="true" outlineLevel="0" collapsed="false">
      <c r="A9" s="1" t="s">
        <v>1387</v>
      </c>
      <c r="E9" s="1" t="n">
        <v>0</v>
      </c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Q9" s="28"/>
    </row>
    <row r="10" customFormat="false" ht="16.4" hidden="false" customHeight="false" outlineLevel="0" collapsed="false">
      <c r="A10" s="1" t="s">
        <v>765</v>
      </c>
      <c r="E10" s="1" t="n">
        <v>0</v>
      </c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M10" s="28"/>
    </row>
    <row r="11" customFormat="false" ht="15" hidden="false" customHeight="false" outlineLevel="0" collapsed="false">
      <c r="A11" s="107" t="s">
        <v>766</v>
      </c>
      <c r="E11" s="106"/>
      <c r="G11" s="71"/>
      <c r="H11" s="28"/>
    </row>
    <row r="12" customFormat="false" ht="15" hidden="false" customHeight="false" outlineLevel="0" collapsed="false">
      <c r="A12" s="15" t="s">
        <v>768</v>
      </c>
      <c r="G12" s="71"/>
      <c r="H12" s="28"/>
    </row>
    <row r="13" customFormat="false" ht="15" hidden="false" customHeight="false" outlineLevel="0" collapsed="false">
      <c r="A13" s="1" t="s">
        <v>770</v>
      </c>
      <c r="E13" s="28" t="n">
        <v>0.99</v>
      </c>
      <c r="F13" s="1" t="s">
        <v>134</v>
      </c>
      <c r="G13" s="71" t="n">
        <f aca="false">E13*$M$2</f>
        <v>90.5454</v>
      </c>
      <c r="H13" s="28" t="n">
        <f aca="false">'APUS ARQUITECTURA'!J127</f>
        <v>27.1229651333333</v>
      </c>
      <c r="I13" s="1" t="n">
        <f aca="false">G13*H13</f>
        <v>2455.85972718372</v>
      </c>
    </row>
    <row r="14" customFormat="false" ht="15" hidden="false" customHeight="false" outlineLevel="0" collapsed="false">
      <c r="A14" s="1" t="s">
        <v>772</v>
      </c>
      <c r="E14" s="28" t="n">
        <v>0.46</v>
      </c>
      <c r="F14" s="1" t="s">
        <v>134</v>
      </c>
      <c r="G14" s="71" t="n">
        <f aca="false">E14*$M$2</f>
        <v>42.0716</v>
      </c>
      <c r="H14" s="28" t="n">
        <f aca="false">'APUS ARQUITECTURA'!J148</f>
        <v>35.8409626666667</v>
      </c>
      <c r="I14" s="1" t="n">
        <f aca="false">G14*H14</f>
        <v>1507.88664492693</v>
      </c>
    </row>
    <row r="15" customFormat="false" ht="15" hidden="false" customHeight="false" outlineLevel="0" collapsed="false">
      <c r="A15" s="26" t="s">
        <v>774</v>
      </c>
      <c r="E15" s="28"/>
      <c r="G15" s="71"/>
      <c r="H15" s="28"/>
    </row>
    <row r="16" customFormat="false" ht="15" hidden="false" customHeight="false" outlineLevel="0" collapsed="false">
      <c r="A16" s="1" t="s">
        <v>776</v>
      </c>
      <c r="E16" s="28" t="n">
        <v>0</v>
      </c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</row>
    <row r="17" customFormat="false" ht="15" hidden="false" customHeight="true" outlineLevel="0" collapsed="false">
      <c r="A17" s="26" t="s">
        <v>778</v>
      </c>
      <c r="D17" s="57"/>
      <c r="F17" s="28"/>
      <c r="G17" s="71"/>
    </row>
    <row r="18" customFormat="false" ht="15" hidden="false" customHeight="false" outlineLevel="0" collapsed="false">
      <c r="A18" s="1" t="s">
        <v>780</v>
      </c>
      <c r="E18" s="57" t="n">
        <v>1</v>
      </c>
      <c r="F18" s="1" t="s">
        <v>204</v>
      </c>
      <c r="G18" s="71" t="n">
        <f aca="false">E18*$M$2</f>
        <v>91.46</v>
      </c>
      <c r="H18" s="28" t="n">
        <f aca="false">'APUS ARQUITECTURA'!J188</f>
        <v>212.282155333333</v>
      </c>
      <c r="I18" s="1" t="n">
        <f aca="false">G18*H18</f>
        <v>19415.3259267867</v>
      </c>
    </row>
    <row r="19" customFormat="false" ht="15" hidden="false" customHeight="false" outlineLevel="0" collapsed="false">
      <c r="A19" s="1" t="s">
        <v>782</v>
      </c>
      <c r="E19" s="1" t="n">
        <v>0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</row>
    <row r="20" customFormat="false" ht="15" hidden="false" customHeight="false" outlineLevel="0" collapsed="false">
      <c r="A20" s="15" t="s">
        <v>783</v>
      </c>
      <c r="E20" s="57"/>
      <c r="G20" s="71"/>
    </row>
    <row r="21" customFormat="false" ht="15" hidden="false" customHeight="false" outlineLevel="0" collapsed="false">
      <c r="A21" s="1" t="s">
        <v>785</v>
      </c>
      <c r="E21" s="1" t="n">
        <v>1</v>
      </c>
      <c r="F21" s="1" t="s">
        <v>134</v>
      </c>
      <c r="G21" s="71" t="n">
        <f aca="false">E21*$M$2</f>
        <v>91.46</v>
      </c>
      <c r="H21" s="28" t="n">
        <f aca="false">'APUS ARQUITECTURA'!J232</f>
        <v>40.18468579</v>
      </c>
      <c r="I21" s="1" t="n">
        <f aca="false">G21*H21</f>
        <v>3675.2913623534</v>
      </c>
    </row>
    <row r="22" customFormat="false" ht="15" hidden="false" customHeight="true" outlineLevel="0" collapsed="false">
      <c r="A22" s="1" t="s">
        <v>787</v>
      </c>
      <c r="E22" s="1" t="n">
        <v>1</v>
      </c>
      <c r="F22" s="1" t="s">
        <v>134</v>
      </c>
      <c r="G22" s="71" t="n">
        <f aca="false">E22*$M$2</f>
        <v>91.46</v>
      </c>
      <c r="H22" s="28" t="n">
        <f aca="false">'APUS ARQUITECTURA'!J252</f>
        <v>206.773372</v>
      </c>
      <c r="I22" s="1" t="n">
        <f aca="false">G22*H22</f>
        <v>18911.49260312</v>
      </c>
    </row>
    <row r="23" customFormat="false" ht="15" hidden="false" customHeight="false" outlineLevel="0" collapsed="false">
      <c r="A23" s="1" t="s">
        <v>789</v>
      </c>
      <c r="E23" s="1" t="n">
        <v>0</v>
      </c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</row>
    <row r="24" customFormat="false" ht="15" hidden="false" customHeight="true" outlineLevel="0" collapsed="false">
      <c r="A24" s="1" t="s">
        <v>791</v>
      </c>
      <c r="E24" s="1" t="n">
        <v>0</v>
      </c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</row>
    <row r="25" customFormat="false" ht="15" hidden="false" customHeight="true" outlineLevel="0" collapsed="false">
      <c r="A25" s="1" t="s">
        <v>793</v>
      </c>
      <c r="E25" s="1" t="n">
        <v>0</v>
      </c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</row>
    <row r="26" customFormat="false" ht="15" hidden="false" customHeight="true" outlineLevel="0" collapsed="false">
      <c r="A26" s="1" t="s">
        <v>1388</v>
      </c>
      <c r="E26" s="1" t="n">
        <v>0</v>
      </c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</row>
    <row r="27" customFormat="false" ht="15" hidden="false" customHeight="true" outlineLevel="0" collapsed="false">
      <c r="A27" s="15" t="s">
        <v>796</v>
      </c>
      <c r="G27" s="71"/>
    </row>
    <row r="28" customFormat="false" ht="15" hidden="false" customHeight="true" outlineLevel="0" collapsed="false">
      <c r="A28" s="1" t="s">
        <v>798</v>
      </c>
      <c r="E28" s="1" t="n">
        <v>0.04</v>
      </c>
      <c r="F28" s="1" t="s">
        <v>145</v>
      </c>
      <c r="G28" s="71" t="n">
        <f aca="false">E28*$M$2</f>
        <v>3.6584</v>
      </c>
      <c r="H28" s="28" t="n">
        <f aca="false">'APUS ARQUITECTURA'!J347</f>
        <v>20.56998</v>
      </c>
      <c r="I28" s="1" t="n">
        <f aca="false">G28*H28</f>
        <v>75.253214832</v>
      </c>
    </row>
    <row r="29" customFormat="false" ht="15" hidden="false" customHeight="true" outlineLevel="0" collapsed="false">
      <c r="A29" s="1" t="s">
        <v>800</v>
      </c>
      <c r="E29" s="1" t="n">
        <v>0.41</v>
      </c>
      <c r="F29" s="1" t="s">
        <v>145</v>
      </c>
      <c r="G29" s="71" t="n">
        <f aca="false">E29*$M$2</f>
        <v>37.4986</v>
      </c>
      <c r="H29" s="28" t="n">
        <f aca="false">'APUS ARQUITECTURA'!J364</f>
        <v>26.68748</v>
      </c>
      <c r="I29" s="1" t="n">
        <f aca="false">G29*H29</f>
        <v>1000.743137528</v>
      </c>
    </row>
    <row r="30" customFormat="false" ht="15" hidden="false" customHeight="true" outlineLevel="0" collapsed="false">
      <c r="A30" s="1" t="s">
        <v>802</v>
      </c>
      <c r="E30" s="1" t="n">
        <v>0.39</v>
      </c>
      <c r="F30" s="1" t="s">
        <v>145</v>
      </c>
      <c r="G30" s="71" t="n">
        <f aca="false">E30*$M$2</f>
        <v>35.6694</v>
      </c>
      <c r="H30" s="28" t="n">
        <f aca="false">'APUS ARQUITECTURA'!J383</f>
        <v>36.537022</v>
      </c>
      <c r="I30" s="1" t="n">
        <f aca="false">G30*H30</f>
        <v>1303.2536525268</v>
      </c>
    </row>
    <row r="31" customFormat="false" ht="15" hidden="false" customHeight="true" outlineLevel="0" collapsed="false">
      <c r="A31" s="1" t="s">
        <v>804</v>
      </c>
      <c r="E31" s="1" t="n">
        <v>0</v>
      </c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</row>
    <row r="32" customFormat="false" ht="15" hidden="false" customHeight="true" outlineLevel="0" collapsed="false">
      <c r="A32" s="1" t="s">
        <v>806</v>
      </c>
      <c r="E32" s="1" t="n">
        <v>0</v>
      </c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</row>
    <row r="33" customFormat="false" ht="15" hidden="false" customHeight="true" outlineLevel="0" collapsed="false">
      <c r="A33" s="1" t="s">
        <v>808</v>
      </c>
      <c r="E33" s="1" t="n">
        <v>0</v>
      </c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</row>
    <row r="34" customFormat="false" ht="15" hidden="false" customHeight="true" outlineLevel="0" collapsed="false">
      <c r="A34" s="15" t="s">
        <v>809</v>
      </c>
      <c r="G34" s="71"/>
      <c r="H34" s="28"/>
    </row>
    <row r="35" customFormat="false" ht="15" hidden="false" customHeight="true" outlineLevel="0" collapsed="false">
      <c r="A35" s="1" t="s">
        <v>811</v>
      </c>
      <c r="E35" s="1" t="n">
        <v>0.05</v>
      </c>
      <c r="F35" s="1" t="s">
        <v>134</v>
      </c>
      <c r="G35" s="71" t="n">
        <f aca="false">E35*$M$2</f>
        <v>4.573</v>
      </c>
      <c r="H35" s="28" t="n">
        <f aca="false">'APUS ARQUITECTURA'!J449</f>
        <v>560.6226</v>
      </c>
      <c r="I35" s="1" t="n">
        <f aca="false">G35*H35</f>
        <v>2563.7271498</v>
      </c>
    </row>
    <row r="36" customFormat="false" ht="15" hidden="false" customHeight="false" outlineLevel="0" collapsed="false">
      <c r="A36" s="1" t="s">
        <v>813</v>
      </c>
      <c r="E36" s="1" t="n">
        <v>0.11</v>
      </c>
      <c r="F36" s="1" t="s">
        <v>134</v>
      </c>
      <c r="G36" s="71" t="n">
        <f aca="false">E36*$M$2</f>
        <v>10.0606</v>
      </c>
      <c r="H36" s="28" t="n">
        <f aca="false">'APUS ARQUITECTURA'!J456</f>
        <v>367.870834240906</v>
      </c>
      <c r="I36" s="1" t="n">
        <f aca="false">G36*H36</f>
        <v>3701.00131496406</v>
      </c>
    </row>
    <row r="37" customFormat="false" ht="15" hidden="false" customHeight="true" outlineLevel="0" collapsed="false">
      <c r="A37" s="1" t="s">
        <v>815</v>
      </c>
      <c r="E37" s="1" t="n">
        <v>0</v>
      </c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</row>
    <row r="38" customFormat="false" ht="15" hidden="false" customHeight="false" outlineLevel="0" collapsed="false">
      <c r="A38" s="1" t="s">
        <v>817</v>
      </c>
      <c r="E38" s="1" t="n">
        <v>0.13</v>
      </c>
      <c r="F38" s="1" t="s">
        <v>145</v>
      </c>
      <c r="G38" s="71" t="n">
        <f aca="false">E38*$M$2</f>
        <v>11.8898</v>
      </c>
      <c r="H38" s="28" t="n">
        <f aca="false">'APUS ARQUITECTURA'!J470</f>
        <v>622.13</v>
      </c>
      <c r="I38" s="1" t="n">
        <f aca="false">G38*H38</f>
        <v>7397.001274</v>
      </c>
      <c r="K38" s="82"/>
    </row>
    <row r="39" customFormat="false" ht="15" hidden="false" customHeight="true" outlineLevel="0" collapsed="false">
      <c r="A39" s="1" t="s">
        <v>819</v>
      </c>
      <c r="E39" s="1" t="n">
        <v>0</v>
      </c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</row>
    <row r="40" customFormat="false" ht="15" hidden="false" customHeight="false" outlineLevel="0" collapsed="false">
      <c r="A40" s="15" t="s">
        <v>820</v>
      </c>
      <c r="G40" s="71"/>
      <c r="K40" s="82"/>
    </row>
    <row r="41" customFormat="false" ht="15" hidden="false" customHeight="true" outlineLevel="0" collapsed="false">
      <c r="A41" s="1" t="s">
        <v>822</v>
      </c>
      <c r="E41" s="1" t="n">
        <v>1.48</v>
      </c>
      <c r="F41" s="1" t="s">
        <v>134</v>
      </c>
      <c r="G41" s="71" t="n">
        <f aca="false">E41*$M$2</f>
        <v>135.3608</v>
      </c>
      <c r="H41" s="28" t="n">
        <f aca="false">'APUS ARQUITECTURA'!J484</f>
        <v>15.625164</v>
      </c>
      <c r="I41" s="1" t="n">
        <f aca="false">G41*H41</f>
        <v>2115.0346991712</v>
      </c>
      <c r="K41" s="82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1" t="n">
        <v>0.59</v>
      </c>
      <c r="F42" s="109" t="s">
        <v>134</v>
      </c>
      <c r="G42" s="71" t="n">
        <f aca="false">E42*$M$2</f>
        <v>53.9614</v>
      </c>
      <c r="H42" s="28" t="n">
        <f aca="false">'APUS ARQUITECTURA'!J504</f>
        <v>15.9562854545455</v>
      </c>
      <c r="I42" s="1" t="n">
        <f aca="false">G42*H42</f>
        <v>861.023501926909</v>
      </c>
    </row>
    <row r="43" customFormat="false" ht="15" hidden="false" customHeight="false" outlineLevel="0" collapsed="false">
      <c r="A43" s="15" t="s">
        <v>980</v>
      </c>
      <c r="G43" s="71"/>
      <c r="H43" s="28"/>
      <c r="L43" s="28"/>
    </row>
    <row r="44" customFormat="false" ht="15" hidden="false" customHeight="true" outlineLevel="0" collapsed="false">
      <c r="A44" s="1" t="s">
        <v>983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</row>
    <row r="45" customFormat="false" ht="15" hidden="false" customHeight="true" outlineLevel="0" collapsed="false">
      <c r="A45" s="1" t="s">
        <v>985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</row>
    <row r="46" customFormat="false" ht="15" hidden="false" customHeight="true" outlineLevel="0" collapsed="false">
      <c r="A46" s="1" t="s">
        <v>1021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</row>
    <row r="47" customFormat="false" ht="15" hidden="false" customHeight="true" outlineLevel="0" collapsed="false">
      <c r="A47" s="1" t="s">
        <v>989</v>
      </c>
      <c r="F47" s="1" t="s">
        <v>150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</row>
    <row r="48" customFormat="false" ht="15" hidden="false" customHeight="false" outlineLevel="0" collapsed="false">
      <c r="A48" s="1" t="s">
        <v>1390</v>
      </c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</row>
    <row r="49" customFormat="false" ht="15" hidden="false" customHeight="false" outlineLevel="0" collapsed="false">
      <c r="A49" s="1" t="s">
        <v>1391</v>
      </c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</row>
    <row r="50" customFormat="false" ht="15" hidden="false" customHeight="false" outlineLevel="0" collapsed="false">
      <c r="A50" s="1" t="s">
        <v>997</v>
      </c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</row>
    <row r="51" customFormat="false" ht="15" hidden="false" customHeight="false" outlineLevel="0" collapsed="false">
      <c r="A51" s="1" t="s">
        <v>998</v>
      </c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</row>
    <row r="52" customFormat="false" ht="15" hidden="false" customHeight="false" outlineLevel="0" collapsed="false">
      <c r="A52" s="1" t="s">
        <v>1002</v>
      </c>
      <c r="E52" s="1" t="n">
        <v>0.1</v>
      </c>
      <c r="F52" s="1" t="s">
        <v>215</v>
      </c>
      <c r="G52" s="71" t="n">
        <f aca="false">E52*$M$2</f>
        <v>9.146</v>
      </c>
      <c r="H52" s="28" t="n">
        <f aca="false">'APUS SANITARIAS'!J91</f>
        <v>158.148033208747</v>
      </c>
      <c r="I52" s="1" t="n">
        <f aca="false">G52*H52</f>
        <v>1446.4219117272</v>
      </c>
    </row>
    <row r="53" customFormat="false" ht="15" hidden="false" customHeight="false" outlineLevel="0" collapsed="false">
      <c r="A53" s="1" t="s">
        <v>1005</v>
      </c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</row>
    <row r="54" customFormat="false" ht="15" hidden="false" customHeight="false" outlineLevel="0" collapsed="false">
      <c r="A54" s="1" t="s">
        <v>1007</v>
      </c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</row>
    <row r="55" customFormat="false" ht="15" hidden="false" customHeight="false" outlineLevel="0" collapsed="false">
      <c r="A55" s="1" t="s">
        <v>1010</v>
      </c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</row>
    <row r="56" customFormat="false" ht="15" hidden="false" customHeight="false" outlineLevel="0" collapsed="false">
      <c r="A56" s="1" t="s">
        <v>1013</v>
      </c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</row>
    <row r="57" customFormat="false" ht="15" hidden="false" customHeight="false" outlineLevel="0" collapsed="false">
      <c r="A57" s="1" t="s">
        <v>1015</v>
      </c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</row>
    <row r="58" customFormat="false" ht="15" hidden="false" customHeight="false" outlineLevel="0" collapsed="false">
      <c r="A58" s="15" t="s">
        <v>1050</v>
      </c>
    </row>
    <row r="59" customFormat="false" ht="15" hidden="false" customHeight="false" outlineLevel="0" collapsed="false">
      <c r="A59" s="1" t="s">
        <v>1053</v>
      </c>
      <c r="E59" s="1" t="n">
        <v>0.24</v>
      </c>
      <c r="F59" s="1" t="s">
        <v>215</v>
      </c>
      <c r="G59" s="71" t="n">
        <f aca="false">E59*$M$2</f>
        <v>21.9504</v>
      </c>
      <c r="H59" s="28" t="n">
        <f aca="false">'APUS ELECTRICAS'!J5</f>
        <v>121.043104</v>
      </c>
      <c r="I59" s="1" t="n">
        <f aca="false">G59*H59</f>
        <v>2656.9445500416</v>
      </c>
    </row>
    <row r="60" customFormat="false" ht="15" hidden="false" customHeight="false" outlineLevel="0" collapsed="false">
      <c r="A60" s="1" t="s">
        <v>1055</v>
      </c>
      <c r="E60" s="1" t="n">
        <v>0.24</v>
      </c>
      <c r="F60" s="1" t="s">
        <v>215</v>
      </c>
      <c r="G60" s="71" t="n">
        <f aca="false">E60*$M$2</f>
        <v>21.9504</v>
      </c>
      <c r="H60" s="28" t="n">
        <f aca="false">'APUS ELECTRICAS'!J26</f>
        <v>163.73838</v>
      </c>
      <c r="I60" s="1" t="n">
        <f aca="false">G60*H60</f>
        <v>3594.122936352</v>
      </c>
    </row>
    <row r="61" customFormat="false" ht="15" hidden="false" customHeight="false" outlineLevel="0" collapsed="false">
      <c r="A61" s="1" t="s">
        <v>1057</v>
      </c>
      <c r="E61" s="1" t="n">
        <v>0.24</v>
      </c>
      <c r="F61" s="1" t="s">
        <v>215</v>
      </c>
      <c r="G61" s="71" t="n">
        <f aca="false">E61*$M$2</f>
        <v>21.9504</v>
      </c>
      <c r="H61" s="28" t="n">
        <f aca="false">'APUS ELECTRICAS'!J48</f>
        <v>118.3069</v>
      </c>
      <c r="I61" s="1" t="n">
        <f aca="false">G61*H61</f>
        <v>2596.88377776</v>
      </c>
    </row>
    <row r="62" customFormat="false" ht="15" hidden="false" customHeight="false" outlineLevel="0" collapsed="false">
      <c r="A62" s="1" t="s">
        <v>1059</v>
      </c>
      <c r="E62" s="1" t="n">
        <v>0</v>
      </c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</row>
    <row r="63" customFormat="false" ht="15" hidden="false" customHeight="false" outlineLevel="0" collapsed="false">
      <c r="A63" s="15" t="s">
        <v>1060</v>
      </c>
    </row>
    <row r="64" customFormat="false" ht="15" hidden="false" customHeight="false" outlineLevel="0" collapsed="false">
      <c r="A64" s="1" t="s">
        <v>1062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</row>
    <row r="65" customFormat="false" ht="15" hidden="false" customHeight="false" outlineLevel="0" collapsed="false">
      <c r="A65" s="1" t="s">
        <v>1064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</row>
    <row r="66" customFormat="false" ht="15" hidden="false" customHeight="false" outlineLevel="0" collapsed="false">
      <c r="A66" s="1" t="s">
        <v>1066</v>
      </c>
      <c r="E66" s="1" t="n">
        <v>0.01</v>
      </c>
      <c r="F66" s="1" t="s">
        <v>150</v>
      </c>
      <c r="G66" s="71" t="n">
        <f aca="false">E66*$M$2</f>
        <v>0.9146</v>
      </c>
      <c r="H66" s="28" t="n">
        <f aca="false">'APUS ELECTRICAS'!J106</f>
        <v>143.11</v>
      </c>
      <c r="I66" s="1" t="n">
        <f aca="false">G66*H66</f>
        <v>130.888406</v>
      </c>
    </row>
    <row r="67" customFormat="false" ht="15" hidden="false" customHeight="true" outlineLevel="0" collapsed="false">
      <c r="A67" s="1" t="s">
        <v>1068</v>
      </c>
      <c r="E67" s="1" t="n">
        <v>0</v>
      </c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</row>
    <row r="68" customFormat="false" ht="15" hidden="false" customHeight="true" outlineLevel="0" collapsed="false">
      <c r="K68" s="28"/>
    </row>
    <row r="69" customFormat="false" ht="15" hidden="false" customHeight="true" outlineLevel="0" collapsed="false"/>
    <row r="70" customFormat="false" ht="15" hidden="false" customHeight="true" outlineLevel="0" collapsed="false">
      <c r="A70" s="15" t="s">
        <v>1100</v>
      </c>
      <c r="G70" s="71"/>
      <c r="H70" s="28"/>
    </row>
    <row r="71" customFormat="false" ht="15" hidden="false" customHeight="true" outlineLevel="0" collapsed="false">
      <c r="A71" s="107" t="s">
        <v>1101</v>
      </c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1.18617064846416</v>
      </c>
      <c r="H72" s="152" t="n">
        <f aca="false">'APUS COMUNICACIONES'!J5</f>
        <v>279.8531</v>
      </c>
      <c r="I72" s="1" t="n">
        <f aca="false">G72*H72</f>
        <v>331.953533101706</v>
      </c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0.624300341296928</v>
      </c>
      <c r="H73" s="152" t="n">
        <f aca="false">'APUS COMUNICACIONES'!J23</f>
        <v>95.8431</v>
      </c>
      <c r="I73" s="1" t="n">
        <f aca="false">G73*H73</f>
        <v>59.8348800409556</v>
      </c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1.06131058020478</v>
      </c>
      <c r="H74" s="152" t="n">
        <f aca="false">'APUS COMUNICACIONES'!J41</f>
        <v>95.8431</v>
      </c>
      <c r="I74" s="1" t="n">
        <f aca="false">G74*H74</f>
        <v>101.719296069625</v>
      </c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0.297166962457338</v>
      </c>
      <c r="H75" s="152" t="n">
        <f aca="false">'APUS COMUNICACIONES'!J59</f>
        <v>26.403334</v>
      </c>
      <c r="I75" s="1" t="n">
        <f aca="false">G75*H75</f>
        <v>7.84619856352655</v>
      </c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6.1999266894198</v>
      </c>
      <c r="H76" s="152" t="n">
        <f aca="false">'APUS COMUNICACIONES'!J77</f>
        <v>25.004334</v>
      </c>
      <c r="I76" s="1" t="n">
        <f aca="false">G76*H76</f>
        <v>155.025037717767</v>
      </c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25.0825148122867</v>
      </c>
      <c r="H77" s="152" t="n">
        <f aca="false">'APUS COMUNICACIONES'!J95</f>
        <v>19.232788</v>
      </c>
      <c r="I77" s="1" t="n">
        <f aca="false">G77*H77</f>
        <v>482.40668989157</v>
      </c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0.147334880546075</v>
      </c>
      <c r="H78" s="152" t="n">
        <f aca="false">'APUS COMUNICACIONES'!J113</f>
        <v>16.371788</v>
      </c>
      <c r="I78" s="1" t="n">
        <f aca="false">G78*H78</f>
        <v>2.41213542930567</v>
      </c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0.624300341296928</v>
      </c>
      <c r="H79" s="152" t="n">
        <f aca="false">'APUS COMUNICACIONES'!J131</f>
        <v>62.670152</v>
      </c>
      <c r="I79" s="1" t="n">
        <f aca="false">G79*H79</f>
        <v>39.1249972827304</v>
      </c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1.18617064846416</v>
      </c>
      <c r="H80" s="152" t="n">
        <f aca="false">'APUS COMUNICACIONES'!J146</f>
        <v>58.850152</v>
      </c>
      <c r="I80" s="1" t="n">
        <f aca="false">G80*H80</f>
        <v>69.8063229600546</v>
      </c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0.187290102389078</v>
      </c>
      <c r="H81" s="152" t="n">
        <f aca="false">'APUS COMUNICACIONES'!J161</f>
        <v>57.880152</v>
      </c>
      <c r="I81" s="1" t="n">
        <f aca="false">G81*H81</f>
        <v>10.8403795943754</v>
      </c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1.15495563139932</v>
      </c>
      <c r="H82" s="152" t="n">
        <f aca="false">'APUS COMUNICACIONES'!J176</f>
        <v>99.34046</v>
      </c>
      <c r="I82" s="1" t="n">
        <f aca="false">G82*H82</f>
        <v>114.733823702799</v>
      </c>
    </row>
    <row r="83" customFormat="false" ht="15" hidden="false" customHeight="false" outlineLevel="0" collapsed="false">
      <c r="A83" s="251" t="s">
        <v>1124</v>
      </c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0.249720136518771</v>
      </c>
      <c r="H85" s="28" t="n">
        <f aca="false">'APUS COMUNICACIONES'!J422</f>
        <v>633.6988</v>
      </c>
      <c r="I85" s="1" t="n">
        <f aca="false">G85*H85</f>
        <v>158.247350847782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0.249720136518771</v>
      </c>
      <c r="H86" s="28" t="n">
        <f aca="false">'APUS COMUNICACIONES'!J440</f>
        <v>520.8388</v>
      </c>
      <c r="I86" s="1" t="n">
        <f aca="false">G86*H86</f>
        <v>130.063936240273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0.624300341296928</v>
      </c>
      <c r="H88" s="28" t="n">
        <f aca="false">'APUS COMUNICACIONES'!J469</f>
        <v>367.6688</v>
      </c>
      <c r="I88" s="1" t="n">
        <f aca="false">G88*H88</f>
        <v>229.535757324232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0.249720136518771</v>
      </c>
      <c r="H90" s="28" t="n">
        <f aca="false">'APUS COMUNICACIONES'!J497</f>
        <v>96.14409</v>
      </c>
      <c r="I90" s="1" t="n">
        <f aca="false">G90*H90</f>
        <v>24.009115280273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0.249720136518771</v>
      </c>
      <c r="H91" s="28" t="n">
        <f aca="false">'APUS COMUNICACIONES'!J513</f>
        <v>64.33069</v>
      </c>
      <c r="I91" s="1" t="n">
        <f aca="false">G91*H91</f>
        <v>16.0646686891468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T165"/>
  <sheetViews>
    <sheetView showFormulas="false" showGridLines="true" showRowColHeaders="true" showZeros="true" rightToLeft="false" tabSelected="false" showOutlineSymbols="true" defaultGridColor="true" view="normal" topLeftCell="A8" colorId="64" zoomScale="100" zoomScaleNormal="100" zoomScalePageLayoutView="100" workbookViewId="0">
      <selection pane="topLeft" activeCell="E3" activeCellId="0" sqref="E3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5" min="5" style="1" width="9.3"/>
  </cols>
  <sheetData>
    <row r="2" customFormat="false" ht="15" hidden="false" customHeight="false" outlineLevel="0" collapsed="false">
      <c r="L2" s="157" t="s">
        <v>88</v>
      </c>
      <c r="M2" s="157" t="n">
        <f aca="false">'Datos iniciales '!D17</f>
        <v>91.45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157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114511.688482942</v>
      </c>
      <c r="L4" s="157" t="s">
        <v>1369</v>
      </c>
      <c r="M4" s="157" t="n">
        <f aca="false">J4/M2</f>
        <v>1252.17811353681</v>
      </c>
    </row>
    <row r="5" customFormat="false" ht="15" hidden="false" customHeight="false" outlineLevel="0" collapsed="false">
      <c r="A5" s="15" t="s">
        <v>755</v>
      </c>
      <c r="E5" s="57"/>
      <c r="G5" s="71"/>
      <c r="O5" s="15"/>
    </row>
    <row r="6" customFormat="false" ht="16.4" hidden="false" customHeight="false" outlineLevel="0" collapsed="false">
      <c r="A6" s="1" t="s">
        <v>757</v>
      </c>
      <c r="E6" s="57" t="n">
        <v>0.52</v>
      </c>
      <c r="F6" s="227" t="s">
        <v>134</v>
      </c>
      <c r="G6" s="71" t="n">
        <f aca="false">E6*$M$2</f>
        <v>47.554</v>
      </c>
      <c r="H6" s="28" t="n">
        <f aca="false">'APUS ARQUITECTURA'!J5</f>
        <v>135.824337926792</v>
      </c>
      <c r="I6" s="1" t="n">
        <f aca="false">G6*H6</f>
        <v>6458.99056577067</v>
      </c>
    </row>
    <row r="7" customFormat="false" ht="16.4" hidden="false" customHeight="false" outlineLevel="0" collapsed="false">
      <c r="A7" s="1" t="s">
        <v>759</v>
      </c>
      <c r="E7" s="57" t="n">
        <v>0.39</v>
      </c>
      <c r="F7" s="227" t="s">
        <v>134</v>
      </c>
      <c r="G7" s="71" t="n">
        <f aca="false">E7*$M$2</f>
        <v>35.6655</v>
      </c>
      <c r="H7" s="28" t="n">
        <f aca="false">'APUS ARQUITECTURA'!J32</f>
        <v>150.0657</v>
      </c>
      <c r="I7" s="1" t="n">
        <f aca="false">G7*H7</f>
        <v>5352.16822335</v>
      </c>
    </row>
    <row r="8" customFormat="false" ht="16.4" hidden="false" customHeight="false" outlineLevel="0" collapsed="false">
      <c r="A8" s="1" t="s">
        <v>761</v>
      </c>
      <c r="E8" s="57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</row>
    <row r="9" customFormat="false" ht="16.4" hidden="false" customHeight="false" outlineLevel="0" collapsed="false">
      <c r="A9" s="1" t="s">
        <v>763</v>
      </c>
      <c r="E9" s="57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</row>
    <row r="10" customFormat="false" ht="16.4" hidden="false" customHeight="false" outlineLevel="0" collapsed="false">
      <c r="A10" s="1" t="s">
        <v>765</v>
      </c>
      <c r="E10" s="57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</row>
    <row r="11" customFormat="false" ht="15" hidden="false" customHeight="false" outlineLevel="0" collapsed="false">
      <c r="A11" s="107" t="s">
        <v>766</v>
      </c>
      <c r="E11" s="106"/>
      <c r="G11" s="71"/>
      <c r="H11" s="28"/>
      <c r="O11" s="107"/>
    </row>
    <row r="12" customFormat="false" ht="15" hidden="false" customHeight="false" outlineLevel="0" collapsed="false">
      <c r="A12" s="15" t="s">
        <v>768</v>
      </c>
      <c r="G12" s="71"/>
      <c r="H12" s="28"/>
      <c r="O12" s="15"/>
    </row>
    <row r="13" customFormat="false" ht="15" hidden="false" customHeight="true" outlineLevel="0" collapsed="false">
      <c r="A13" s="1" t="s">
        <v>770</v>
      </c>
      <c r="E13" s="28" t="n">
        <v>0.85</v>
      </c>
      <c r="F13" s="1" t="s">
        <v>134</v>
      </c>
      <c r="G13" s="71" t="n">
        <f aca="false">E13*$M$2</f>
        <v>77.7325</v>
      </c>
      <c r="H13" s="28" t="n">
        <f aca="false">'APUS ARQUITECTURA'!J127</f>
        <v>27.1229651333333</v>
      </c>
      <c r="I13" s="1" t="n">
        <f aca="false">G13*H13</f>
        <v>2108.33588722683</v>
      </c>
    </row>
    <row r="14" customFormat="false" ht="15" hidden="false" customHeight="true" outlineLevel="0" collapsed="false">
      <c r="A14" s="1" t="s">
        <v>772</v>
      </c>
      <c r="E14" s="28" t="n">
        <v>0.88</v>
      </c>
      <c r="F14" s="1" t="s">
        <v>134</v>
      </c>
      <c r="G14" s="71" t="n">
        <f aca="false">E14*$M$2</f>
        <v>80.476</v>
      </c>
      <c r="H14" s="28" t="n">
        <f aca="false">'APUS ARQUITECTURA'!J148</f>
        <v>35.8409626666667</v>
      </c>
      <c r="I14" s="1" t="n">
        <f aca="false">G14*H14</f>
        <v>2884.33731156267</v>
      </c>
    </row>
    <row r="15" customFormat="false" ht="15" hidden="false" customHeight="true" outlineLevel="0" collapsed="false">
      <c r="A15" s="26" t="s">
        <v>774</v>
      </c>
      <c r="E15" s="28"/>
      <c r="G15" s="71"/>
      <c r="H15" s="28"/>
      <c r="O15" s="26"/>
    </row>
    <row r="16" customFormat="false" ht="15" hidden="false" customHeight="false" outlineLevel="0" collapsed="false">
      <c r="A16" s="1" t="s">
        <v>776</v>
      </c>
      <c r="E16" s="28" t="n">
        <v>0.41</v>
      </c>
      <c r="F16" s="1" t="s">
        <v>134</v>
      </c>
      <c r="G16" s="71" t="n">
        <f aca="false">E16*$M$2</f>
        <v>37.4945</v>
      </c>
      <c r="H16" s="28" t="n">
        <f aca="false">'APUS ARQUITECTURA'!J168</f>
        <v>90.82588</v>
      </c>
      <c r="I16" s="1" t="n">
        <f aca="false">G16*H16</f>
        <v>3405.47095766</v>
      </c>
    </row>
    <row r="17" customFormat="false" ht="15" hidden="false" customHeight="false" outlineLevel="0" collapsed="false">
      <c r="A17" s="26" t="s">
        <v>778</v>
      </c>
      <c r="D17" s="57"/>
      <c r="F17" s="28"/>
      <c r="G17" s="71"/>
      <c r="I17" s="1" t="n">
        <f aca="false">G17*H17</f>
        <v>0</v>
      </c>
      <c r="O17" s="26"/>
      <c r="T17" s="28"/>
    </row>
    <row r="18" customFormat="false" ht="15" hidden="false" customHeight="true" outlineLevel="0" collapsed="false">
      <c r="A18" s="1" t="s">
        <v>780</v>
      </c>
      <c r="E18" s="57" t="n">
        <v>1</v>
      </c>
      <c r="F18" s="1" t="s">
        <v>204</v>
      </c>
      <c r="G18" s="71" t="n">
        <f aca="false">E18*$M$2</f>
        <v>91.45</v>
      </c>
      <c r="H18" s="28" t="n">
        <f aca="false">'APUS ARQUITECTURA'!J188</f>
        <v>212.282155333333</v>
      </c>
      <c r="I18" s="1" t="n">
        <f aca="false">G18*H18</f>
        <v>19413.2031052333</v>
      </c>
    </row>
    <row r="19" customFormat="false" ht="15" hidden="false" customHeight="true" outlineLevel="0" collapsed="false">
      <c r="A19" s="1" t="s">
        <v>782</v>
      </c>
      <c r="E19" s="57"/>
      <c r="F19" s="1" t="s">
        <v>204</v>
      </c>
      <c r="G19" s="71"/>
      <c r="H19" s="28" t="n">
        <f aca="false">'APUS ARQUITECTURA'!J212</f>
        <v>62.663358</v>
      </c>
      <c r="I19" s="1" t="n">
        <f aca="false">G19*H19</f>
        <v>0</v>
      </c>
    </row>
    <row r="20" customFormat="false" ht="15" hidden="false" customHeight="false" outlineLevel="0" collapsed="false">
      <c r="A20" s="15" t="s">
        <v>783</v>
      </c>
      <c r="E20" s="57"/>
      <c r="G20" s="71"/>
      <c r="I20" s="1" t="n">
        <f aca="false">G20*H20</f>
        <v>0</v>
      </c>
      <c r="O20" s="15"/>
    </row>
    <row r="21" customFormat="false" ht="15" hidden="false" customHeight="true" outlineLevel="0" collapsed="false">
      <c r="A21" s="1" t="s">
        <v>785</v>
      </c>
      <c r="E21" s="1" t="n">
        <v>1</v>
      </c>
      <c r="F21" s="1" t="s">
        <v>134</v>
      </c>
      <c r="G21" s="71" t="n">
        <f aca="false">E21*$M$2</f>
        <v>91.45</v>
      </c>
      <c r="H21" s="28" t="n">
        <f aca="false">'APUS ARQUITECTURA'!J232</f>
        <v>40.18468579</v>
      </c>
      <c r="I21" s="1" t="n">
        <f aca="false">G21*H21</f>
        <v>3674.8895154955</v>
      </c>
    </row>
    <row r="22" customFormat="false" ht="15" hidden="false" customHeight="true" outlineLevel="0" collapsed="false">
      <c r="A22" s="1" t="s">
        <v>787</v>
      </c>
      <c r="E22" s="1" t="n">
        <v>1</v>
      </c>
      <c r="F22" s="1" t="s">
        <v>134</v>
      </c>
      <c r="G22" s="71" t="n">
        <f aca="false">E22*$M$2</f>
        <v>91.45</v>
      </c>
      <c r="H22" s="28" t="n">
        <f aca="false">'APUS ARQUITECTURA'!J252</f>
        <v>206.773372</v>
      </c>
      <c r="I22" s="1" t="n">
        <f aca="false">G22*H22</f>
        <v>18909.4248694</v>
      </c>
    </row>
    <row r="23" customFormat="false" ht="15" hidden="false" customHeight="true" outlineLevel="0" collapsed="false">
      <c r="A23" s="1" t="s">
        <v>789</v>
      </c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</row>
    <row r="24" customFormat="false" ht="15" hidden="false" customHeight="true" outlineLevel="0" collapsed="false">
      <c r="A24" s="1" t="s">
        <v>791</v>
      </c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</row>
    <row r="25" customFormat="false" ht="15" hidden="false" customHeight="true" outlineLevel="0" collapsed="false">
      <c r="A25" s="1" t="s">
        <v>793</v>
      </c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</row>
    <row r="26" customFormat="false" ht="15" hidden="false" customHeight="true" outlineLevel="0" collapsed="false">
      <c r="A26" s="1" t="s">
        <v>1388</v>
      </c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</row>
    <row r="27" customFormat="false" ht="15" hidden="false" customHeight="true" outlineLevel="0" collapsed="false">
      <c r="A27" s="15" t="s">
        <v>796</v>
      </c>
      <c r="G27" s="71"/>
      <c r="I27" s="1" t="n">
        <f aca="false">G27*H27</f>
        <v>0</v>
      </c>
      <c r="O27" s="15"/>
    </row>
    <row r="28" customFormat="false" ht="15" hidden="false" customHeight="true" outlineLevel="0" collapsed="false">
      <c r="A28" s="1" t="s">
        <v>798</v>
      </c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</row>
    <row r="29" customFormat="false" ht="15" hidden="false" customHeight="true" outlineLevel="0" collapsed="false">
      <c r="A29" s="1" t="s">
        <v>800</v>
      </c>
      <c r="E29" s="1" t="n">
        <v>0.41</v>
      </c>
      <c r="F29" s="1" t="s">
        <v>145</v>
      </c>
      <c r="G29" s="71" t="n">
        <f aca="false">E29*$M$2</f>
        <v>37.4945</v>
      </c>
      <c r="H29" s="28" t="n">
        <f aca="false">'APUS ARQUITECTURA'!J364</f>
        <v>26.68748</v>
      </c>
      <c r="I29" s="1" t="n">
        <f aca="false">G29*H29</f>
        <v>1000.63371886</v>
      </c>
    </row>
    <row r="30" customFormat="false" ht="15" hidden="false" customHeight="true" outlineLevel="0" collapsed="false">
      <c r="A30" s="1" t="s">
        <v>802</v>
      </c>
      <c r="E30" s="1" t="n">
        <v>0.24</v>
      </c>
      <c r="F30" s="1" t="s">
        <v>145</v>
      </c>
      <c r="G30" s="71" t="n">
        <f aca="false">E30*$M$2</f>
        <v>21.948</v>
      </c>
      <c r="H30" s="28" t="n">
        <f aca="false">'APUS ARQUITECTURA'!J383</f>
        <v>36.537022</v>
      </c>
      <c r="I30" s="1" t="n">
        <f aca="false">G30*H30</f>
        <v>801.914558856</v>
      </c>
    </row>
    <row r="31" customFormat="false" ht="15" hidden="false" customHeight="true" outlineLevel="0" collapsed="false">
      <c r="A31" s="1" t="s">
        <v>804</v>
      </c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</row>
    <row r="32" customFormat="false" ht="15" hidden="false" customHeight="true" outlineLevel="0" collapsed="false">
      <c r="A32" s="1" t="s">
        <v>806</v>
      </c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</row>
    <row r="33" customFormat="false" ht="15" hidden="false" customHeight="true" outlineLevel="0" collapsed="false">
      <c r="A33" s="1" t="s">
        <v>808</v>
      </c>
      <c r="E33" s="1" t="n">
        <v>0.4</v>
      </c>
      <c r="F33" s="1" t="s">
        <v>145</v>
      </c>
      <c r="G33" s="71" t="n">
        <f aca="false">E33*$M$2</f>
        <v>36.58</v>
      </c>
      <c r="H33" s="28" t="n">
        <f aca="false">'APUS ARQUITECTURA'!J430</f>
        <v>84.43849</v>
      </c>
      <c r="I33" s="1" t="n">
        <f aca="false">G33*H33</f>
        <v>3088.7599642</v>
      </c>
    </row>
    <row r="34" customFormat="false" ht="15" hidden="false" customHeight="false" outlineLevel="0" collapsed="false">
      <c r="A34" s="15" t="s">
        <v>809</v>
      </c>
      <c r="G34" s="71"/>
      <c r="H34" s="28"/>
      <c r="I34" s="1" t="n">
        <f aca="false">G34*H34</f>
        <v>0</v>
      </c>
      <c r="O34" s="15"/>
    </row>
    <row r="35" customFormat="false" ht="15" hidden="false" customHeight="true" outlineLevel="0" collapsed="false">
      <c r="A35" s="1" t="s">
        <v>811</v>
      </c>
      <c r="E35" s="1" t="n">
        <v>0.05</v>
      </c>
      <c r="F35" s="1" t="s">
        <v>134</v>
      </c>
      <c r="G35" s="71" t="n">
        <f aca="false">E35*$M$2</f>
        <v>4.5725</v>
      </c>
      <c r="H35" s="28" t="n">
        <f aca="false">'APUS ARQUITECTURA'!J449</f>
        <v>560.6226</v>
      </c>
      <c r="I35" s="1" t="n">
        <f aca="false">G35*H35</f>
        <v>2563.4468385</v>
      </c>
      <c r="K35" s="82"/>
    </row>
    <row r="36" customFormat="false" ht="15" hidden="false" customHeight="false" outlineLevel="0" collapsed="false">
      <c r="A36" s="1" t="s">
        <v>813</v>
      </c>
      <c r="E36" s="1" t="n">
        <v>0.25</v>
      </c>
      <c r="F36" s="1" t="s">
        <v>134</v>
      </c>
      <c r="G36" s="71" t="n">
        <f aca="false">E36*$M$2</f>
        <v>22.8625</v>
      </c>
      <c r="H36" s="28" t="n">
        <f aca="false">'APUS ARQUITECTURA'!J456</f>
        <v>367.870834240906</v>
      </c>
      <c r="I36" s="1" t="n">
        <f aca="false">G36*H36</f>
        <v>8410.44694783272</v>
      </c>
      <c r="K36" s="82"/>
    </row>
    <row r="37" customFormat="false" ht="15" hidden="false" customHeight="false" outlineLevel="0" collapsed="false">
      <c r="A37" s="1" t="s">
        <v>815</v>
      </c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</row>
    <row r="38" customFormat="false" ht="15" hidden="false" customHeight="false" outlineLevel="0" collapsed="false">
      <c r="A38" s="1" t="s">
        <v>817</v>
      </c>
      <c r="E38" s="1" t="n">
        <v>0.13</v>
      </c>
      <c r="F38" s="1" t="s">
        <v>145</v>
      </c>
      <c r="G38" s="71" t="n">
        <f aca="false">E38*$M$2</f>
        <v>11.8885</v>
      </c>
      <c r="H38" s="28" t="n">
        <f aca="false">'APUS ARQUITECTURA'!J470</f>
        <v>622.13</v>
      </c>
      <c r="I38" s="1" t="n">
        <f aca="false">G38*H38</f>
        <v>7396.192505</v>
      </c>
      <c r="K38" s="82"/>
    </row>
    <row r="39" customFormat="false" ht="15" hidden="false" customHeight="false" outlineLevel="0" collapsed="false">
      <c r="A39" s="1" t="s">
        <v>819</v>
      </c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</row>
    <row r="40" customFormat="false" ht="15" hidden="false" customHeight="false" outlineLevel="0" collapsed="false">
      <c r="A40" s="15" t="s">
        <v>820</v>
      </c>
      <c r="G40" s="71"/>
      <c r="I40" s="1" t="n">
        <f aca="false">G40*H40</f>
        <v>0</v>
      </c>
      <c r="O40" s="15"/>
    </row>
    <row r="41" customFormat="false" ht="15" hidden="false" customHeight="false" outlineLevel="0" collapsed="false">
      <c r="A41" s="1" t="s">
        <v>822</v>
      </c>
      <c r="E41" s="1" t="n">
        <v>1.85</v>
      </c>
      <c r="F41" s="1" t="s">
        <v>134</v>
      </c>
      <c r="G41" s="71" t="n">
        <f aca="false">E41*$M$2</f>
        <v>169.1825</v>
      </c>
      <c r="H41" s="28" t="n">
        <f aca="false">'APUS ARQUITECTURA'!J484</f>
        <v>15.625164</v>
      </c>
      <c r="I41" s="1" t="n">
        <f aca="false">G41*H41</f>
        <v>2643.50430843</v>
      </c>
      <c r="L41" s="28"/>
    </row>
    <row r="42" customFormat="false" ht="15" hidden="false" customHeight="true" outlineLevel="0" collapsed="false">
      <c r="A42" s="1" t="s">
        <v>824</v>
      </c>
      <c r="B42" s="109"/>
      <c r="C42" s="109"/>
      <c r="D42" s="109"/>
      <c r="E42" s="1" t="n">
        <v>0.88</v>
      </c>
      <c r="F42" s="109" t="s">
        <v>134</v>
      </c>
      <c r="G42" s="71" t="n">
        <f aca="false">E42*$M$2</f>
        <v>80.476</v>
      </c>
      <c r="H42" s="28" t="n">
        <f aca="false">'APUS ARQUITECTURA'!J504</f>
        <v>15.9562854545455</v>
      </c>
      <c r="I42" s="1" t="n">
        <f aca="false">G42*H42</f>
        <v>1284.09802824</v>
      </c>
      <c r="T42" s="109"/>
    </row>
    <row r="43" customFormat="false" ht="15" hidden="false" customHeight="true" outlineLevel="0" collapsed="false">
      <c r="A43" s="15" t="s">
        <v>980</v>
      </c>
      <c r="G43" s="71"/>
      <c r="H43" s="28"/>
      <c r="I43" s="1" t="n">
        <f aca="false">G43*H43</f>
        <v>0</v>
      </c>
      <c r="O43" s="15"/>
    </row>
    <row r="44" customFormat="false" ht="15" hidden="false" customHeight="false" outlineLevel="0" collapsed="false">
      <c r="A44" s="1" t="s">
        <v>983</v>
      </c>
      <c r="E44" s="1" t="n">
        <v>0.07</v>
      </c>
      <c r="F44" s="1" t="s">
        <v>1389</v>
      </c>
      <c r="G44" s="71" t="n">
        <f aca="false">E44*$M$2</f>
        <v>6.4015</v>
      </c>
      <c r="H44" s="28" t="n">
        <f aca="false">'APUS SANITARIAS'!J5</f>
        <v>193.333333333333</v>
      </c>
      <c r="I44" s="1" t="n">
        <f aca="false">G44*H44</f>
        <v>1237.62333333333</v>
      </c>
    </row>
    <row r="45" customFormat="false" ht="15" hidden="false" customHeight="false" outlineLevel="0" collapsed="false">
      <c r="A45" s="1" t="s">
        <v>985</v>
      </c>
      <c r="E45" s="1" t="n">
        <v>0.07</v>
      </c>
      <c r="F45" s="1" t="s">
        <v>1389</v>
      </c>
      <c r="G45" s="71" t="n">
        <f aca="false">E45*$M$2</f>
        <v>6.4015</v>
      </c>
      <c r="H45" s="28" t="n">
        <f aca="false">'APUS SANITARIAS'!J12</f>
        <v>192.42</v>
      </c>
      <c r="I45" s="1" t="n">
        <f aca="false">G45*H45</f>
        <v>1231.77663</v>
      </c>
    </row>
    <row r="46" customFormat="false" ht="15" hidden="false" customHeight="false" outlineLevel="0" collapsed="false">
      <c r="A46" s="1" t="s">
        <v>1021</v>
      </c>
      <c r="E46" s="1" t="n">
        <v>0.07</v>
      </c>
      <c r="F46" s="1" t="s">
        <v>1389</v>
      </c>
      <c r="G46" s="71" t="n">
        <f aca="false">E46*$M$2</f>
        <v>6.4015</v>
      </c>
      <c r="H46" s="28" t="n">
        <f aca="false">'APUS SANITARIAS'!J19</f>
        <v>67.5216666666667</v>
      </c>
      <c r="I46" s="1" t="n">
        <f aca="false">G46*H46</f>
        <v>432.239949166667</v>
      </c>
    </row>
    <row r="47" customFormat="false" ht="15" hidden="false" customHeight="false" outlineLevel="0" collapsed="false">
      <c r="A47" s="1" t="s">
        <v>989</v>
      </c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</row>
    <row r="48" customFormat="false" ht="15" hidden="false" customHeight="false" outlineLevel="0" collapsed="false">
      <c r="A48" s="1" t="s">
        <v>1390</v>
      </c>
      <c r="E48" s="1" t="n">
        <v>0.07</v>
      </c>
      <c r="F48" s="1" t="s">
        <v>215</v>
      </c>
      <c r="G48" s="71" t="n">
        <f aca="false">E48*$M$2</f>
        <v>6.4015</v>
      </c>
      <c r="H48" s="28" t="n">
        <f aca="false">'APUS SANITARIAS'!J32</f>
        <v>131.737813333333</v>
      </c>
      <c r="I48" s="1" t="n">
        <f aca="false">G48*H48</f>
        <v>843.319612053333</v>
      </c>
    </row>
    <row r="49" customFormat="false" ht="15" hidden="false" customHeight="false" outlineLevel="0" collapsed="false">
      <c r="A49" s="1" t="s">
        <v>1391</v>
      </c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</row>
    <row r="50" customFormat="false" ht="15" hidden="false" customHeight="false" outlineLevel="0" collapsed="false">
      <c r="A50" s="1" t="s">
        <v>997</v>
      </c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</row>
    <row r="51" customFormat="false" ht="15" hidden="false" customHeight="false" outlineLevel="0" collapsed="false">
      <c r="A51" s="1" t="s">
        <v>998</v>
      </c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</row>
    <row r="52" customFormat="false" ht="15" hidden="false" customHeight="false" outlineLevel="0" collapsed="false">
      <c r="A52" s="1" t="s">
        <v>1002</v>
      </c>
      <c r="E52" s="1" t="n">
        <v>0.1</v>
      </c>
      <c r="F52" s="1" t="s">
        <v>215</v>
      </c>
      <c r="G52" s="71" t="n">
        <f aca="false">E52*$M$2</f>
        <v>9.145</v>
      </c>
      <c r="H52" s="28" t="n">
        <f aca="false">'APUS SANITARIAS'!J91</f>
        <v>158.148033208747</v>
      </c>
      <c r="I52" s="1" t="n">
        <f aca="false">G52*H52</f>
        <v>1446.26376369399</v>
      </c>
    </row>
    <row r="53" customFormat="false" ht="15" hidden="false" customHeight="false" outlineLevel="0" collapsed="false">
      <c r="A53" s="1" t="s">
        <v>1005</v>
      </c>
      <c r="E53" s="1" t="n">
        <v>0.07</v>
      </c>
      <c r="F53" s="1" t="s">
        <v>215</v>
      </c>
      <c r="G53" s="71" t="n">
        <f aca="false">E53*$M$2</f>
        <v>6.4015</v>
      </c>
      <c r="H53" s="28" t="n">
        <f aca="false">'APUS SANITARIAS'!J108</f>
        <v>138.64528</v>
      </c>
      <c r="I53" s="1" t="n">
        <f aca="false">G53*H53</f>
        <v>887.53775992</v>
      </c>
    </row>
    <row r="54" customFormat="false" ht="15" hidden="false" customHeight="false" outlineLevel="0" collapsed="false">
      <c r="A54" s="1" t="s">
        <v>1007</v>
      </c>
      <c r="E54" s="1" t="n">
        <v>0.07</v>
      </c>
      <c r="F54" s="1" t="s">
        <v>215</v>
      </c>
      <c r="G54" s="71" t="n">
        <f aca="false">E54*$M$2</f>
        <v>6.4015</v>
      </c>
      <c r="H54" s="28" t="n">
        <f aca="false">'APUS SANITARIAS'!J127</f>
        <v>145.93578</v>
      </c>
      <c r="I54" s="1" t="n">
        <f aca="false">G54*H54</f>
        <v>934.20789567</v>
      </c>
    </row>
    <row r="55" customFormat="false" ht="15" hidden="false" customHeight="false" outlineLevel="0" collapsed="false">
      <c r="A55" s="1" t="s">
        <v>1010</v>
      </c>
      <c r="E55" s="1" t="n">
        <v>0.07</v>
      </c>
      <c r="F55" s="1" t="s">
        <v>215</v>
      </c>
      <c r="G55" s="71" t="n">
        <f aca="false">E55*$M$2</f>
        <v>6.4015</v>
      </c>
      <c r="H55" s="28" t="n">
        <f aca="false">'APUS SANITARIAS'!J145</f>
        <v>141.07118</v>
      </c>
      <c r="I55" s="1" t="n">
        <f aca="false">G55*H55</f>
        <v>903.06715877</v>
      </c>
    </row>
    <row r="56" customFormat="false" ht="15" hidden="false" customHeight="false" outlineLevel="0" collapsed="false">
      <c r="A56" s="1" t="s">
        <v>1013</v>
      </c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</row>
    <row r="57" customFormat="false" ht="15" hidden="false" customHeight="false" outlineLevel="0" collapsed="false">
      <c r="A57" s="1" t="s">
        <v>1015</v>
      </c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</row>
    <row r="58" customFormat="false" ht="15" hidden="false" customHeight="false" outlineLevel="0" collapsed="false">
      <c r="A58" s="15" t="s">
        <v>1050</v>
      </c>
      <c r="I58" s="1" t="n">
        <f aca="false">G58*H58</f>
        <v>0</v>
      </c>
      <c r="O58" s="15"/>
    </row>
    <row r="59" customFormat="false" ht="15" hidden="false" customHeight="false" outlineLevel="0" collapsed="false">
      <c r="A59" s="1" t="s">
        <v>1053</v>
      </c>
      <c r="E59" s="1" t="n">
        <v>0.38</v>
      </c>
      <c r="F59" s="1" t="s">
        <v>215</v>
      </c>
      <c r="G59" s="71" t="n">
        <f aca="false">E59*$M$2</f>
        <v>34.751</v>
      </c>
      <c r="H59" s="28" t="n">
        <f aca="false">'APUS ELECTRICAS'!J5</f>
        <v>121.043104</v>
      </c>
      <c r="I59" s="1" t="n">
        <f aca="false">G59*H59</f>
        <v>4206.368907104</v>
      </c>
    </row>
    <row r="60" customFormat="false" ht="15" hidden="false" customHeight="false" outlineLevel="0" collapsed="false">
      <c r="A60" s="1" t="s">
        <v>1055</v>
      </c>
      <c r="E60" s="1" t="n">
        <v>0.38</v>
      </c>
      <c r="F60" s="1" t="s">
        <v>215</v>
      </c>
      <c r="G60" s="71" t="n">
        <f aca="false">E60*$M$2</f>
        <v>34.751</v>
      </c>
      <c r="H60" s="28" t="n">
        <f aca="false">'APUS ELECTRICAS'!J26</f>
        <v>163.73838</v>
      </c>
      <c r="I60" s="1" t="n">
        <f aca="false">G60*H60</f>
        <v>5690.07244338</v>
      </c>
    </row>
    <row r="61" customFormat="false" ht="15" hidden="false" customHeight="false" outlineLevel="0" collapsed="false">
      <c r="A61" s="1" t="s">
        <v>1057</v>
      </c>
      <c r="E61" s="1" t="n">
        <v>0.38</v>
      </c>
      <c r="F61" s="1" t="s">
        <v>215</v>
      </c>
      <c r="G61" s="71" t="n">
        <f aca="false">E61*$M$2</f>
        <v>34.751</v>
      </c>
      <c r="H61" s="28" t="n">
        <f aca="false">'APUS ELECTRICAS'!J48</f>
        <v>118.3069</v>
      </c>
      <c r="I61" s="1" t="n">
        <f aca="false">G61*H61</f>
        <v>4111.2830819</v>
      </c>
    </row>
    <row r="62" customFormat="false" ht="15" hidden="false" customHeight="false" outlineLevel="0" collapsed="false">
      <c r="A62" s="1" t="s">
        <v>1059</v>
      </c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</row>
    <row r="63" customFormat="false" ht="15" hidden="false" customHeight="false" outlineLevel="0" collapsed="false">
      <c r="A63" s="15" t="s">
        <v>1060</v>
      </c>
      <c r="I63" s="1" t="n">
        <f aca="false">G63*H63</f>
        <v>0</v>
      </c>
      <c r="O63" s="15"/>
    </row>
    <row r="64" customFormat="false" ht="15" hidden="false" customHeight="false" outlineLevel="0" collapsed="false">
      <c r="A64" s="1" t="s">
        <v>1062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</row>
    <row r="65" customFormat="false" ht="15" hidden="false" customHeight="true" outlineLevel="0" collapsed="false">
      <c r="A65" s="1" t="s">
        <v>1064</v>
      </c>
      <c r="E65" s="1" t="n">
        <v>0.1</v>
      </c>
      <c r="F65" s="1" t="s">
        <v>150</v>
      </c>
      <c r="G65" s="71" t="n">
        <f aca="false">E65*$M$2</f>
        <v>9.145</v>
      </c>
      <c r="H65" s="28" t="n">
        <f aca="false">'APUS ELECTRICAS'!J88</f>
        <v>105.9636</v>
      </c>
      <c r="I65" s="1" t="n">
        <f aca="false">G65*H65</f>
        <v>969.037122</v>
      </c>
      <c r="K65" s="28"/>
    </row>
    <row r="66" customFormat="false" ht="15" hidden="false" customHeight="true" outlineLevel="0" collapsed="false">
      <c r="A66" s="1" t="s">
        <v>1066</v>
      </c>
      <c r="E66" s="1" t="n">
        <v>0.01</v>
      </c>
      <c r="F66" s="1" t="s">
        <v>150</v>
      </c>
      <c r="G66" s="71" t="n">
        <f aca="false">E66*$M$2</f>
        <v>0.9145</v>
      </c>
      <c r="H66" s="28" t="n">
        <f aca="false">'APUS ELECTRICAS'!J106</f>
        <v>143.11</v>
      </c>
      <c r="I66" s="1" t="n">
        <f aca="false">G66*H66</f>
        <v>130.874095</v>
      </c>
      <c r="K66" s="28"/>
    </row>
    <row r="67" customFormat="false" ht="15" hidden="false" customHeight="true" outlineLevel="0" collapsed="false">
      <c r="A67" s="1" t="s">
        <v>1068</v>
      </c>
      <c r="E67" s="1" t="n">
        <v>0.02</v>
      </c>
      <c r="F67" s="1" t="s">
        <v>150</v>
      </c>
      <c r="G67" s="71" t="n">
        <f aca="false">E67*$M$2</f>
        <v>1.829</v>
      </c>
      <c r="H67" s="28" t="n">
        <f aca="false">'APUS ELECTRICAS'!J114</f>
        <v>86.81614</v>
      </c>
      <c r="I67" s="1" t="n">
        <f aca="false">G67*H67</f>
        <v>158.78672006</v>
      </c>
      <c r="K67" s="28"/>
    </row>
    <row r="68" customFormat="false" ht="15" hidden="false" customHeight="true" outlineLevel="0" collapsed="false">
      <c r="G68" s="71"/>
    </row>
    <row r="69" customFormat="false" ht="15" hidden="false" customHeight="true" outlineLevel="0" collapsed="false">
      <c r="G69" s="71"/>
    </row>
    <row r="70" customFormat="false" ht="15" hidden="false" customHeight="true" outlineLevel="0" collapsed="false">
      <c r="A70" s="15" t="s">
        <v>1100</v>
      </c>
      <c r="H70" s="28"/>
    </row>
    <row r="71" customFormat="false" ht="15" hidden="false" customHeight="true" outlineLevel="0" collapsed="false">
      <c r="A71" s="107" t="s">
        <v>1101</v>
      </c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1.1860409556314</v>
      </c>
      <c r="H72" s="152" t="n">
        <f aca="false">'APUS COMUNICACIONES'!J5</f>
        <v>279.8531</v>
      </c>
      <c r="I72" s="1" t="n">
        <f aca="false">G72*H72</f>
        <v>331.917238160409</v>
      </c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0.624232081911263</v>
      </c>
      <c r="H73" s="152" t="n">
        <f aca="false">'APUS COMUNICACIONES'!J23</f>
        <v>95.8431</v>
      </c>
      <c r="I73" s="1" t="n">
        <f aca="false">G73*H73</f>
        <v>59.8283378498293</v>
      </c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1.06119453924915</v>
      </c>
      <c r="H74" s="152" t="n">
        <f aca="false">'APUS COMUNICACIONES'!J41</f>
        <v>95.8431</v>
      </c>
      <c r="I74" s="1" t="n">
        <f aca="false">G74*H74</f>
        <v>101.70817434471</v>
      </c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0.297134470989761</v>
      </c>
      <c r="H75" s="152" t="n">
        <f aca="false">'APUS COMUNICACIONES'!J59</f>
        <v>26.403334</v>
      </c>
      <c r="I75" s="1" t="n">
        <f aca="false">G75*H75</f>
        <v>7.84534068045597</v>
      </c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6.19924880546075</v>
      </c>
      <c r="H76" s="152" t="n">
        <f aca="false">'APUS COMUNICACIONES'!J77</f>
        <v>25.004334</v>
      </c>
      <c r="I76" s="1" t="n">
        <f aca="false">G76*H76</f>
        <v>155.008087680842</v>
      </c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25.0797723549488</v>
      </c>
      <c r="H77" s="152" t="n">
        <f aca="false">'APUS COMUNICACIONES'!J95</f>
        <v>19.232788</v>
      </c>
      <c r="I77" s="1" t="n">
        <f aca="false">G77*H77</f>
        <v>482.353944790991</v>
      </c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0.147318771331058</v>
      </c>
      <c r="H78" s="152" t="n">
        <f aca="false">'APUS COMUNICACIONES'!J113</f>
        <v>16.371788</v>
      </c>
      <c r="I78" s="1" t="n">
        <f aca="false">G78*H78</f>
        <v>2.41187169265256</v>
      </c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0.624232081911263</v>
      </c>
      <c r="H79" s="152" t="n">
        <f aca="false">'APUS COMUNICACIONES'!J131</f>
        <v>62.670152</v>
      </c>
      <c r="I79" s="1" t="n">
        <f aca="false">G79*H79</f>
        <v>39.1207194566553</v>
      </c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1.1860409556314</v>
      </c>
      <c r="H80" s="152" t="n">
        <f aca="false">'APUS COMUNICACIONES'!J146</f>
        <v>58.850152</v>
      </c>
      <c r="I80" s="1" t="n">
        <f aca="false">G80*H80</f>
        <v>69.7986905171331</v>
      </c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0.187269624573379</v>
      </c>
      <c r="H81" s="152" t="n">
        <f aca="false">'APUS COMUNICACIONES'!J161</f>
        <v>57.880152</v>
      </c>
      <c r="I81" s="1" t="n">
        <f aca="false">G81*H81</f>
        <v>10.8391943352901</v>
      </c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1.15482935153584</v>
      </c>
      <c r="H82" s="152" t="n">
        <f aca="false">'APUS COMUNICACIONES'!J176</f>
        <v>99.34046</v>
      </c>
      <c r="I82" s="1" t="n">
        <f aca="false">G82*H82</f>
        <v>114.721279003072</v>
      </c>
    </row>
    <row r="83" customFormat="false" ht="15" hidden="false" customHeight="false" outlineLevel="0" collapsed="false">
      <c r="A83" s="251" t="s">
        <v>1124</v>
      </c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0.249692832764505</v>
      </c>
      <c r="H85" s="28" t="n">
        <f aca="false">'APUS COMUNICACIONES'!J422</f>
        <v>633.6988</v>
      </c>
      <c r="I85" s="1" t="n">
        <f aca="false">G85*H85</f>
        <v>158.230048491468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0.249692832764505</v>
      </c>
      <c r="H86" s="28" t="n">
        <f aca="false">'APUS COMUNICACIONES'!J440</f>
        <v>520.8388</v>
      </c>
      <c r="I86" s="1" t="n">
        <f aca="false">G86*H86</f>
        <v>130.049715385666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0.624232081911263</v>
      </c>
      <c r="H88" s="28" t="n">
        <f aca="false">'APUS COMUNICACIONES'!J469</f>
        <v>367.6688</v>
      </c>
      <c r="I88" s="1" t="n">
        <f aca="false">G88*H88</f>
        <v>229.510660477816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0.249692832764505</v>
      </c>
      <c r="H90" s="28" t="n">
        <f aca="false">'APUS COMUNICACIONES'!J497</f>
        <v>96.14409</v>
      </c>
      <c r="I90" s="1" t="n">
        <f aca="false">G90*H90</f>
        <v>24.0064901856655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0.249692832764505</v>
      </c>
      <c r="H91" s="28" t="n">
        <f aca="false">'APUS COMUNICACIONES'!J513</f>
        <v>64.33069</v>
      </c>
      <c r="I91" s="1" t="n">
        <f aca="false">G91*H91</f>
        <v>16.0629122197952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12" activeCellId="0" sqref="L1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'!D18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(((2*3.75)*3)-(0.75*2.1))/30</f>
        <v>0.6975</v>
      </c>
      <c r="F6" s="105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759</v>
      </c>
      <c r="E7" s="253" t="n">
        <f aca="false">(((8/2)*2)*3)/30</f>
        <v>0.8</v>
      </c>
      <c r="F7" s="105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761</v>
      </c>
      <c r="E8" s="253"/>
      <c r="F8" s="105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763</v>
      </c>
      <c r="E9" s="199"/>
      <c r="F9" s="105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765</v>
      </c>
      <c r="E10" s="199"/>
      <c r="F10" s="105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F11" s="6"/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F12" s="6"/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f aca="false">((6.95*2*3)+(4.25*2*3)-(2.1*1))/30</f>
        <v>2.17</v>
      </c>
      <c r="F13" s="6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(((4.25+0.6)*3.3)+((1.4+0.6)*3))/30</f>
        <v>0.7335</v>
      </c>
      <c r="F14" s="6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F15" s="6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/>
      <c r="F16" s="6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10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6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 t="n">
        <v>1</v>
      </c>
      <c r="F19" s="6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F20" s="6"/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v>1</v>
      </c>
      <c r="F21" s="6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/>
      <c r="F22" s="6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/>
      <c r="F23" s="6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 t="n">
        <v>1</v>
      </c>
      <c r="F24" s="6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6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795</v>
      </c>
      <c r="E26" s="253"/>
      <c r="F26" s="6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F27" s="6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6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6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/>
      <c r="F30" s="6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/>
      <c r="F31" s="6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/>
      <c r="F32" s="6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6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F34" s="6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199" t="n">
        <f aca="false">2.1*1/30</f>
        <v>0.07</v>
      </c>
      <c r="F35" s="6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/>
      <c r="F36" s="6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2"/>
      <c r="F37" s="6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6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6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F40" s="6"/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E19+E13</f>
        <v>3.17</v>
      </c>
      <c r="F41" s="6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 t="n">
        <f aca="false">E14</f>
        <v>0.7335</v>
      </c>
      <c r="F42" s="110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F43" s="6"/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53"/>
      <c r="F44" s="6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53"/>
      <c r="F45" s="6" t="s">
        <v>1389</v>
      </c>
      <c r="G45" s="71" t="n">
        <f aca="false">E45*$M$2</f>
        <v>0</v>
      </c>
      <c r="H45" s="28" t="n">
        <f aca="false">'APUS SANITARIAS'!J12</f>
        <v>192.42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53"/>
      <c r="F46" s="6" t="s">
        <v>1389</v>
      </c>
      <c r="G46" s="71" t="n">
        <f aca="false">E46*$M$2</f>
        <v>0</v>
      </c>
      <c r="H46" s="28" t="n">
        <f aca="false">'APUS SANITARIAS'!J19</f>
        <v>67.5216666666667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6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/>
      <c r="F48" s="6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6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6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6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6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/>
      <c r="F53" s="6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/>
      <c r="F54" s="6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/>
      <c r="F55" s="6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6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6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F58" s="6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6/30</f>
        <v>0.2</v>
      </c>
      <c r="F59" s="6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6/30</f>
        <v>0.2</v>
      </c>
      <c r="F60" s="6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6/30</f>
        <v>0.2</v>
      </c>
      <c r="F61" s="6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/>
      <c r="F62" s="6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F63" s="6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(30/10)/30</f>
        <v>0.1</v>
      </c>
      <c r="F64" s="6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(30/10)/30</f>
        <v>0.1</v>
      </c>
      <c r="F65" s="6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6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6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F68" s="6"/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F69" s="6"/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1100</v>
      </c>
      <c r="F70" s="6"/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1101</v>
      </c>
      <c r="F71" s="6"/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6" t="s">
        <v>150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6" t="s">
        <v>150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6" t="s">
        <v>150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6" t="s">
        <v>145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6" t="s">
        <v>145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6" t="s">
        <v>145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6" t="s">
        <v>145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6" t="s">
        <v>150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6" t="s">
        <v>150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6" t="s">
        <v>150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6" t="s">
        <v>145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1124</v>
      </c>
      <c r="F83" s="6"/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1154</v>
      </c>
      <c r="F84" s="6"/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6" t="s">
        <v>150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6" t="s">
        <v>150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1392</v>
      </c>
      <c r="F87" s="6"/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6" t="s">
        <v>150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1166</v>
      </c>
      <c r="F89" s="6"/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6" t="s">
        <v>150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6" t="s">
        <v>150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92" customFormat="false" ht="15" hidden="false" customHeight="false" outlineLevel="0" collapsed="false">
      <c r="F92" s="6"/>
    </row>
    <row r="93" customFormat="false" ht="15" hidden="false" customHeight="false" outlineLevel="0" collapsed="false">
      <c r="F93" s="6"/>
    </row>
    <row r="94" customFormat="false" ht="15" hidden="false" customHeight="false" outlineLevel="0" collapsed="false">
      <c r="F94" s="6"/>
    </row>
    <row r="95" customFormat="false" ht="15" hidden="false" customHeight="false" outlineLevel="0" collapsed="false">
      <c r="F95" s="6"/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'!D19</f>
        <v>314.7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300865.913572822</v>
      </c>
      <c r="L4" s="157" t="s">
        <v>1369</v>
      </c>
      <c r="M4" s="252" t="n">
        <f aca="false">J4/M2</f>
        <v>956.040399023903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6.95*3/(2*150)</f>
        <v>0.0695</v>
      </c>
      <c r="F6" s="227" t="s">
        <v>134</v>
      </c>
      <c r="G6" s="71" t="n">
        <f aca="false">E6*$M$2</f>
        <v>21.87165</v>
      </c>
      <c r="H6" s="28" t="n">
        <f aca="false">'APUS ARQUITECTURA'!J5</f>
        <v>135.824337926792</v>
      </c>
      <c r="I6" s="1" t="n">
        <f aca="false">G6*H6</f>
        <v>2970.70238061652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759</v>
      </c>
      <c r="E7" s="253" t="n">
        <f aca="false">((6.95*3)/150)</f>
        <v>0.139</v>
      </c>
      <c r="F7" s="227" t="s">
        <v>134</v>
      </c>
      <c r="G7" s="71" t="n">
        <f aca="false">E7*$M$2</f>
        <v>43.7433</v>
      </c>
      <c r="H7" s="28" t="n">
        <f aca="false">'APUS ARQUITECTURA'!J32</f>
        <v>150.0657</v>
      </c>
      <c r="I7" s="1" t="n">
        <f aca="false">G7*H7</f>
        <v>6564.36893481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761</v>
      </c>
      <c r="E8" s="253" t="n">
        <f aca="false">((2.8*10*3)-(6*1)-(3*2.8*1)-(4*2*2.1))/150</f>
        <v>0.352</v>
      </c>
      <c r="F8" s="227" t="s">
        <v>134</v>
      </c>
      <c r="G8" s="71" t="n">
        <f aca="false">E8*$M$2</f>
        <v>110.7744</v>
      </c>
      <c r="H8" s="28" t="n">
        <f aca="false">'APUS ARQUITECTURA'!J50</f>
        <v>141.066794285714</v>
      </c>
      <c r="I8" s="1" t="n">
        <f aca="false">G8*H8</f>
        <v>15626.5894969234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f aca="false">((21.85*3)+(6.95*3)+(3*6.95/2)-(2.8*10*3)+(20*0.2*3))/150</f>
        <v>0.1655</v>
      </c>
      <c r="F13" s="1" t="s">
        <v>134</v>
      </c>
      <c r="G13" s="71" t="n">
        <f aca="false">E13*$M$2</f>
        <v>52.08285</v>
      </c>
      <c r="H13" s="28" t="n">
        <f aca="false">'APUS ARQUITECTURA'!J127</f>
        <v>27.1229651333333</v>
      </c>
      <c r="I13" s="1" t="n">
        <f aca="false">G13*H13</f>
        <v>1412.64132459463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6.95*3.3/150</f>
        <v>0.1529</v>
      </c>
      <c r="F14" s="1" t="s">
        <v>134</v>
      </c>
      <c r="G14" s="71" t="n">
        <f aca="false">E14*$M$2</f>
        <v>48.11763</v>
      </c>
      <c r="H14" s="28" t="n">
        <f aca="false">'APUS ARQUITECTURA'!J148</f>
        <v>35.8409626666667</v>
      </c>
      <c r="I14" s="1" t="n">
        <f aca="false">G14*H14</f>
        <v>1724.58218043848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 t="n">
        <v>1</v>
      </c>
      <c r="F18" s="1" t="s">
        <v>204</v>
      </c>
      <c r="G18" s="71" t="n">
        <f aca="false">E18*$M$2</f>
        <v>314.7</v>
      </c>
      <c r="H18" s="28" t="n">
        <f aca="false">'APUS ARQUITECTURA'!J188</f>
        <v>212.282155333333</v>
      </c>
      <c r="I18" s="1" t="n">
        <f aca="false">G18*H18</f>
        <v>66805.1942834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/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f aca="false">1</f>
        <v>1</v>
      </c>
      <c r="F21" s="1" t="s">
        <v>134</v>
      </c>
      <c r="G21" s="71" t="n">
        <f aca="false">E21*$M$2</f>
        <v>314.7</v>
      </c>
      <c r="H21" s="28" t="n">
        <f aca="false">'APUS ARQUITECTURA'!J232</f>
        <v>40.18468579</v>
      </c>
      <c r="I21" s="1" t="n">
        <f aca="false">G21*H21</f>
        <v>12646.120618113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 t="n">
        <f aca="false">1</f>
        <v>1</v>
      </c>
      <c r="F22" s="1" t="s">
        <v>134</v>
      </c>
      <c r="G22" s="71" t="n">
        <f aca="false">E22*$M$2</f>
        <v>314.7</v>
      </c>
      <c r="H22" s="28" t="n">
        <f aca="false">'APUS ARQUITECTURA'!J252</f>
        <v>206.773372</v>
      </c>
      <c r="I22" s="1" t="n">
        <f aca="false">G22*H22</f>
        <v>65071.5801684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128.925483870968</v>
      </c>
      <c r="H29" s="28" t="n">
        <f aca="false">'APUS ARQUITECTURA'!J364</f>
        <v>26.68748</v>
      </c>
      <c r="I29" s="1" t="n">
        <f aca="false">G29*H29</f>
        <v>3440.69627229677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 t="n">
        <f aca="false">((21.84*2)+(6.95*2)-(2*4))*2/150</f>
        <v>0.661066666666667</v>
      </c>
      <c r="F30" s="1" t="s">
        <v>145</v>
      </c>
      <c r="G30" s="71" t="n">
        <f aca="false">E30*$M$2</f>
        <v>208.03768</v>
      </c>
      <c r="H30" s="28" t="n">
        <f aca="false">'APUS ARQUITECTURA'!J383</f>
        <v>36.537022</v>
      </c>
      <c r="I30" s="1" t="n">
        <f aca="false">G30*H30</f>
        <v>7601.07729098896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f aca="false">4*2*2.1/150</f>
        <v>0.112</v>
      </c>
      <c r="F35" s="1" t="s">
        <v>134</v>
      </c>
      <c r="G35" s="71" t="n">
        <f aca="false">E35*$M$2</f>
        <v>35.2464</v>
      </c>
      <c r="H35" s="28" t="n">
        <f aca="false">'APUS ARQUITECTURA'!J449</f>
        <v>560.6226</v>
      </c>
      <c r="I35" s="1" t="n">
        <f aca="false">G35*H35</f>
        <v>19759.92840864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 t="n">
        <f aca="false">((2*3)+(2.8*3))/150</f>
        <v>0.096</v>
      </c>
      <c r="F36" s="1" t="s">
        <v>134</v>
      </c>
      <c r="G36" s="71" t="n">
        <f aca="false">E36*$M$2</f>
        <v>30.2112</v>
      </c>
      <c r="H36" s="28" t="n">
        <f aca="false">'APUS ARQUITECTURA'!J456</f>
        <v>367.870834240906</v>
      </c>
      <c r="I36" s="1" t="n">
        <f aca="false">G36*H36</f>
        <v>11113.8193474189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40.911</v>
      </c>
      <c r="H38" s="28" t="n">
        <f aca="false">'APUS ARQUITECTURA'!J470</f>
        <v>622.13</v>
      </c>
      <c r="I38" s="1" t="n">
        <f aca="false">G38*H38</f>
        <v>25451.96043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E18+E19+E13</f>
        <v>1.1655</v>
      </c>
      <c r="F41" s="1" t="s">
        <v>134</v>
      </c>
      <c r="G41" s="71" t="n">
        <f aca="false">E41*$M$2</f>
        <v>366.78285</v>
      </c>
      <c r="H41" s="28" t="n">
        <f aca="false">'APUS ARQUITECTURA'!J484</f>
        <v>15.625164</v>
      </c>
      <c r="I41" s="1" t="n">
        <f aca="false">G41*H41</f>
        <v>5731.0421836374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 t="n">
        <f aca="false">E14</f>
        <v>0.1529</v>
      </c>
      <c r="F42" s="109" t="s">
        <v>134</v>
      </c>
      <c r="G42" s="71" t="n">
        <f aca="false">E42*$M$2</f>
        <v>48.11763</v>
      </c>
      <c r="H42" s="28" t="n">
        <f aca="false">'APUS ARQUITECTURA'!J504</f>
        <v>15.9562854545455</v>
      </c>
      <c r="I42" s="1" t="n">
        <f aca="false">G42*H42</f>
        <v>767.7786396762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53" t="n">
        <f aca="false">1/150</f>
        <v>0.00666666666666667</v>
      </c>
      <c r="F44" s="1" t="s">
        <v>1389</v>
      </c>
      <c r="G44" s="71" t="n">
        <f aca="false">E44*$M$2</f>
        <v>2.098</v>
      </c>
      <c r="H44" s="28" t="n">
        <f aca="false">'APUS SANITARIAS'!J5</f>
        <v>193.333333333333</v>
      </c>
      <c r="I44" s="1" t="n">
        <f aca="false">G44*H44</f>
        <v>405.613333333333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53" t="n">
        <f aca="false">1/150</f>
        <v>0.00666666666666667</v>
      </c>
      <c r="F45" s="1" t="s">
        <v>1389</v>
      </c>
      <c r="G45" s="71" t="n">
        <f aca="false">E45*$M$2</f>
        <v>2.098</v>
      </c>
      <c r="H45" s="28" t="n">
        <f aca="false">'APUS SANITARIAS'!J12</f>
        <v>192.42</v>
      </c>
      <c r="I45" s="1" t="n">
        <f aca="false">G45*H45</f>
        <v>403.69716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53" t="n">
        <f aca="false">1/150</f>
        <v>0.00666666666666667</v>
      </c>
      <c r="F46" s="1" t="s">
        <v>1389</v>
      </c>
      <c r="G46" s="71" t="n">
        <f aca="false">E46*$M$2</f>
        <v>2.098</v>
      </c>
      <c r="H46" s="28" t="n">
        <f aca="false">'APUS SANITARIAS'!J19</f>
        <v>67.5216666666667</v>
      </c>
      <c r="I46" s="1" t="n">
        <f aca="false">G46*H46</f>
        <v>141.660456666667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 t="n">
        <f aca="false">1/150</f>
        <v>0.00666666666666667</v>
      </c>
      <c r="F48" s="1" t="s">
        <v>215</v>
      </c>
      <c r="G48" s="71" t="n">
        <f aca="false">E48*$M$2</f>
        <v>2.098</v>
      </c>
      <c r="H48" s="28" t="n">
        <f aca="false">'APUS SANITARIAS'!J32</f>
        <v>131.737813333333</v>
      </c>
      <c r="I48" s="1" t="n">
        <f aca="false">G48*H48</f>
        <v>276.385932373333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30.2112</v>
      </c>
      <c r="H52" s="28" t="n">
        <f aca="false">'APUS SANITARIAS'!J91</f>
        <v>158.148033208747</v>
      </c>
      <c r="I52" s="1" t="n">
        <f aca="false">G52*H52</f>
        <v>4777.84186087608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 t="n">
        <f aca="false">1/150</f>
        <v>0.00666666666666667</v>
      </c>
      <c r="F53" s="1" t="s">
        <v>215</v>
      </c>
      <c r="G53" s="71" t="n">
        <f aca="false">E53*$M$2</f>
        <v>2.098</v>
      </c>
      <c r="H53" s="28" t="n">
        <f aca="false">'APUS SANITARIAS'!J108</f>
        <v>138.64528</v>
      </c>
      <c r="I53" s="1" t="n">
        <f aca="false">G53*H53</f>
        <v>290.87779744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 t="n">
        <f aca="false">1/150</f>
        <v>0.00666666666666667</v>
      </c>
      <c r="F54" s="1" t="s">
        <v>215</v>
      </c>
      <c r="G54" s="71" t="n">
        <f aca="false">E54*$M$2</f>
        <v>2.098</v>
      </c>
      <c r="H54" s="28" t="n">
        <f aca="false">'APUS SANITARIAS'!J127</f>
        <v>145.93578</v>
      </c>
      <c r="I54" s="1" t="n">
        <f aca="false">G54*H54</f>
        <v>306.17326644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 t="n">
        <f aca="false">1/150</f>
        <v>0.00666666666666667</v>
      </c>
      <c r="F55" s="1" t="s">
        <v>215</v>
      </c>
      <c r="G55" s="71" t="n">
        <f aca="false">E55*$M$2</f>
        <v>2.098</v>
      </c>
      <c r="H55" s="28" t="n">
        <f aca="false">'APUS SANITARIAS'!J145</f>
        <v>141.07118</v>
      </c>
      <c r="I55" s="1" t="n">
        <f aca="false">G55*H55</f>
        <v>295.96733564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29/150</f>
        <v>0.193333333333333</v>
      </c>
      <c r="F59" s="1" t="s">
        <v>215</v>
      </c>
      <c r="G59" s="71" t="n">
        <f aca="false">E59*$M$2</f>
        <v>60.842</v>
      </c>
      <c r="H59" s="28" t="n">
        <f aca="false">'APUS ELECTRICAS'!J5</f>
        <v>121.043104</v>
      </c>
      <c r="I59" s="1" t="n">
        <f aca="false">G59*H59</f>
        <v>7364.504533568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29/150</f>
        <v>0.193333333333333</v>
      </c>
      <c r="F60" s="1" t="s">
        <v>215</v>
      </c>
      <c r="G60" s="71" t="n">
        <f aca="false">E60*$M$2</f>
        <v>60.842</v>
      </c>
      <c r="H60" s="28" t="n">
        <f aca="false">'APUS ELECTRICAS'!J26</f>
        <v>163.73838</v>
      </c>
      <c r="I60" s="1" t="n">
        <f aca="false">G60*H60</f>
        <v>9962.17051596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29/150</f>
        <v>0.193333333333333</v>
      </c>
      <c r="F61" s="1" t="s">
        <v>215</v>
      </c>
      <c r="G61" s="71" t="n">
        <f aca="false">E61*$M$2</f>
        <v>60.842</v>
      </c>
      <c r="H61" s="28" t="n">
        <f aca="false">'APUS ELECTRICAS'!J48</f>
        <v>118.3069</v>
      </c>
      <c r="I61" s="1" t="n">
        <f aca="false">G61*H61</f>
        <v>7198.0284098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v>0.1</v>
      </c>
      <c r="F64" s="1" t="s">
        <v>150</v>
      </c>
      <c r="G64" s="71" t="n">
        <f aca="false">E64*$M$2</f>
        <v>31.47</v>
      </c>
      <c r="H64" s="28" t="n">
        <f aca="false">'APUS ELECTRICAS'!J74</f>
        <v>396.145032</v>
      </c>
      <c r="I64" s="1" t="n">
        <f aca="false">G64*H64</f>
        <v>12466.68415704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v>0.1</v>
      </c>
      <c r="F65" s="1" t="s">
        <v>150</v>
      </c>
      <c r="G65" s="71" t="n">
        <f aca="false">E65*$M$2</f>
        <v>31.47</v>
      </c>
      <c r="H65" s="28" t="n">
        <f aca="false">'APUS ELECTRICAS'!J88</f>
        <v>105.9636</v>
      </c>
      <c r="I65" s="1" t="n">
        <f aca="false">G65*H65</f>
        <v>3334.674492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 t="n">
        <f aca="false">1/150</f>
        <v>0.00666666666666667</v>
      </c>
      <c r="F66" s="1" t="s">
        <v>150</v>
      </c>
      <c r="G66" s="71" t="n">
        <f aca="false">E66*$M$2</f>
        <v>2.098</v>
      </c>
      <c r="H66" s="28" t="n">
        <f aca="false">'APUS ELECTRICAS'!J106</f>
        <v>143.11</v>
      </c>
      <c r="I66" s="1" t="n">
        <f aca="false">G66*H66</f>
        <v>300.24478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1100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1101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4.08143344709898</v>
      </c>
      <c r="H72" s="152" t="n">
        <f aca="false">'APUS COMUNICACIONES'!J5</f>
        <v>279.8531</v>
      </c>
      <c r="I72" s="1" t="n">
        <f aca="false">G72*H72</f>
        <v>1142.20180261433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2.1481228668942</v>
      </c>
      <c r="H73" s="152" t="n">
        <f aca="false">'APUS COMUNICACIONES'!J23</f>
        <v>95.8431</v>
      </c>
      <c r="I73" s="1" t="n">
        <f aca="false">G73*H73</f>
        <v>205.882754744027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3.65180887372014</v>
      </c>
      <c r="H74" s="152" t="n">
        <f aca="false">'APUS COMUNICACIONES'!J41</f>
        <v>95.8431</v>
      </c>
      <c r="I74" s="1" t="n">
        <f aca="false">G74*H74</f>
        <v>350.000683064846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1.02250648464164</v>
      </c>
      <c r="H75" s="152" t="n">
        <f aca="false">'APUS COMUNICACIONES'!J59</f>
        <v>26.403334</v>
      </c>
      <c r="I75" s="1" t="n">
        <f aca="false">G75*H75</f>
        <v>26.997580231159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21.3330081911263</v>
      </c>
      <c r="H76" s="152" t="n">
        <f aca="false">'APUS COMUNICACIONES'!J77</f>
        <v>25.004334</v>
      </c>
      <c r="I76" s="1" t="n">
        <f aca="false">G76*H76</f>
        <v>533.417662035657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86.3051324232082</v>
      </c>
      <c r="H77" s="152" t="n">
        <f aca="false">'APUS COMUNICACIONES'!J95</f>
        <v>19.232788</v>
      </c>
      <c r="I77" s="1" t="n">
        <f aca="false">G77*H77</f>
        <v>1659.88831520749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0.506956996587031</v>
      </c>
      <c r="H78" s="152" t="n">
        <f aca="false">'APUS COMUNICACIONES'!J113</f>
        <v>16.371788</v>
      </c>
      <c r="I78" s="1" t="n">
        <f aca="false">G78*H78</f>
        <v>8.29979247323959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2.1481228668942</v>
      </c>
      <c r="H79" s="152" t="n">
        <f aca="false">'APUS COMUNICACIONES'!J131</f>
        <v>62.670152</v>
      </c>
      <c r="I79" s="1" t="n">
        <f aca="false">G79*H79</f>
        <v>134.623186582935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4.08143344709898</v>
      </c>
      <c r="H80" s="152" t="n">
        <f aca="false">'APUS COMUNICACIONES'!J146</f>
        <v>58.850152</v>
      </c>
      <c r="I80" s="1" t="n">
        <f aca="false">G80*H80</f>
        <v>240.192978739659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0.644436860068259</v>
      </c>
      <c r="H81" s="152" t="n">
        <f aca="false">'APUS COMUNICACIONES'!J161</f>
        <v>57.880152</v>
      </c>
      <c r="I81" s="1" t="n">
        <f aca="false">G81*H81</f>
        <v>37.3001034151536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3.97402730375427</v>
      </c>
      <c r="H82" s="152" t="n">
        <f aca="false">'APUS COMUNICACIONES'!J176</f>
        <v>99.34046</v>
      </c>
      <c r="I82" s="1" t="n">
        <f aca="false">G82*H82</f>
        <v>394.781700407509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1124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0.859249146757679</v>
      </c>
      <c r="H85" s="28" t="n">
        <f aca="false">'APUS COMUNICACIONES'!J422</f>
        <v>633.6988</v>
      </c>
      <c r="I85" s="1" t="n">
        <f aca="false">G85*H85</f>
        <v>544.505153201365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0.859249146757679</v>
      </c>
      <c r="H86" s="28" t="n">
        <f aca="false">'APUS COMUNICACIONES'!J440</f>
        <v>520.8388</v>
      </c>
      <c r="I86" s="1" t="n">
        <f aca="false">G86*H86</f>
        <v>447.530294498294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2.1481228668942</v>
      </c>
      <c r="H88" s="28" t="n">
        <f aca="false">'APUS COMUNICACIONES'!J469</f>
        <v>367.6688</v>
      </c>
      <c r="I88" s="1" t="n">
        <f aca="false">G88*H88</f>
        <v>789.79775672355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0.859249146757679</v>
      </c>
      <c r="H90" s="28" t="n">
        <f aca="false">'APUS COMUNICACIONES'!J497</f>
        <v>96.14409</v>
      </c>
      <c r="I90" s="1" t="n">
        <f aca="false">G90*H90</f>
        <v>82.6117272982935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0.859249146757679</v>
      </c>
      <c r="H91" s="28" t="n">
        <f aca="false">'APUS COMUNICACIONES'!J513</f>
        <v>64.33069</v>
      </c>
      <c r="I91" s="1" t="n">
        <f aca="false">G91*H91</f>
        <v>55.2760904928328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'!D20</f>
        <v>25.3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30906.2026273855</v>
      </c>
      <c r="L4" s="157" t="s">
        <v>1369</v>
      </c>
      <c r="M4" s="252" t="n">
        <f aca="false">J4/M2</f>
        <v>1221.58903665555</v>
      </c>
      <c r="N4" s="1" t="n">
        <v>1221.589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(7.55+1.75+1.3+1.3+(7.55/2))*3/33.5</f>
        <v>1.40373134328358</v>
      </c>
      <c r="F6" s="227" t="s">
        <v>134</v>
      </c>
      <c r="G6" s="71" t="n">
        <f aca="false">E6*$M$2</f>
        <v>35.5144029850746</v>
      </c>
      <c r="H6" s="28" t="n">
        <f aca="false">'APUS ARQUITECTURA'!J5</f>
        <v>135.824337926792</v>
      </c>
      <c r="I6" s="1" t="n">
        <f aca="false">G6*H6</f>
        <v>4823.72027231305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759</v>
      </c>
      <c r="E7" s="253" t="n">
        <v>0</v>
      </c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761</v>
      </c>
      <c r="E8" s="253" t="n">
        <f aca="false">0.4*3*2/33.5</f>
        <v>0.0716417910447761</v>
      </c>
      <c r="F8" s="227" t="s">
        <v>134</v>
      </c>
      <c r="G8" s="71" t="n">
        <f aca="false">E8*$M$2</f>
        <v>1.81253731343284</v>
      </c>
      <c r="H8" s="28" t="n">
        <f aca="false">'APUS ARQUITECTURA'!J50</f>
        <v>141.066794285714</v>
      </c>
      <c r="I8" s="1" t="n">
        <f aca="false">G8*H8</f>
        <v>255.688828329211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f aca="false">((7.3*1.5)+3+4.7+0.45+0.2)*3/33.5</f>
        <v>1.72835820895522</v>
      </c>
      <c r="F13" s="1" t="s">
        <v>134</v>
      </c>
      <c r="G13" s="71" t="n">
        <f aca="false">E13*$M$2</f>
        <v>43.7274626865672</v>
      </c>
      <c r="H13" s="28" t="n">
        <f aca="false">'APUS ARQUITECTURA'!J127</f>
        <v>27.1229651333333</v>
      </c>
      <c r="I13" s="1" t="n">
        <f aca="false">G13*H13</f>
        <v>1186.0184458169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(4.9+3+0.6+0.6)*3.3/33.5</f>
        <v>0.896417910447761</v>
      </c>
      <c r="F14" s="1" t="s">
        <v>134</v>
      </c>
      <c r="G14" s="71" t="n">
        <f aca="false">E14*$M$2</f>
        <v>22.6793731343284</v>
      </c>
      <c r="H14" s="28" t="n">
        <f aca="false">'APUS ARQUITECTURA'!J148</f>
        <v>35.8409626666667</v>
      </c>
      <c r="I14" s="1" t="n">
        <f aca="false">G14*H14</f>
        <v>812.850565810865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 t="n">
        <v>1</v>
      </c>
      <c r="F18" s="1" t="s">
        <v>204</v>
      </c>
      <c r="G18" s="71" t="n">
        <f aca="false">E18*$M$2</f>
        <v>25.3</v>
      </c>
      <c r="H18" s="28" t="n">
        <f aca="false">'APUS ARQUITECTURA'!J188</f>
        <v>212.282155333333</v>
      </c>
      <c r="I18" s="1" t="n">
        <f aca="false">G18*H18</f>
        <v>5370.73852993333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/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v>1</v>
      </c>
      <c r="F21" s="1" t="s">
        <v>134</v>
      </c>
      <c r="G21" s="71" t="n">
        <f aca="false">E21*$M$2</f>
        <v>25.3</v>
      </c>
      <c r="H21" s="28" t="n">
        <f aca="false">'APUS ARQUITECTURA'!J232</f>
        <v>40.18468579</v>
      </c>
      <c r="I21" s="1" t="n">
        <f aca="false">G21*H21</f>
        <v>1016.672550487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 t="n">
        <v>1</v>
      </c>
      <c r="F22" s="1" t="s">
        <v>134</v>
      </c>
      <c r="G22" s="71" t="n">
        <f aca="false">E22*$M$2</f>
        <v>25.3</v>
      </c>
      <c r="H22" s="28" t="n">
        <f aca="false">'APUS ARQUITECTURA'!J252</f>
        <v>206.773372</v>
      </c>
      <c r="I22" s="1" t="n">
        <f aca="false">G22*H22</f>
        <v>5231.3663116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10.3648387096774</v>
      </c>
      <c r="H29" s="28" t="n">
        <f aca="false">'APUS ARQUITECTURA'!J364</f>
        <v>26.68748</v>
      </c>
      <c r="I29" s="1" t="n">
        <f aca="false">G29*H29</f>
        <v>276.611425767742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 t="n">
        <f aca="false">((7.3*1.5)+4.7+3+0.45+0.2+0.8)/33.5</f>
        <v>0.6</v>
      </c>
      <c r="F30" s="1" t="s">
        <v>145</v>
      </c>
      <c r="G30" s="71" t="n">
        <f aca="false">E30*$M$2</f>
        <v>15.18</v>
      </c>
      <c r="H30" s="28" t="n">
        <f aca="false">'APUS ARQUITECTURA'!J383</f>
        <v>36.537022</v>
      </c>
      <c r="I30" s="1" t="n">
        <f aca="false">G30*H30</f>
        <v>554.63199396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f aca="false">1*2.1/33.5</f>
        <v>0.0626865671641791</v>
      </c>
      <c r="F35" s="1" t="s">
        <v>134</v>
      </c>
      <c r="G35" s="71" t="n">
        <f aca="false">E35*$M$2</f>
        <v>1.58597014925373</v>
      </c>
      <c r="H35" s="28" t="n">
        <f aca="false">'APUS ARQUITECTURA'!J449</f>
        <v>560.6226</v>
      </c>
      <c r="I35" s="1" t="n">
        <f aca="false">G35*H35</f>
        <v>889.130708597015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 t="n">
        <v>0</v>
      </c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3.289</v>
      </c>
      <c r="H38" s="28" t="n">
        <f aca="false">'APUS ARQUITECTURA'!J470</f>
        <v>622.13</v>
      </c>
      <c r="I38" s="1" t="n">
        <f aca="false">G38*H38</f>
        <v>2046.18557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E18+E13</f>
        <v>2.72835820895522</v>
      </c>
      <c r="F41" s="1" t="s">
        <v>134</v>
      </c>
      <c r="G41" s="71" t="n">
        <f aca="false">E41*$M$2</f>
        <v>69.0274626865672</v>
      </c>
      <c r="H41" s="28" t="n">
        <f aca="false">'APUS ARQUITECTURA'!J484</f>
        <v>15.625164</v>
      </c>
      <c r="I41" s="1" t="n">
        <f aca="false">G41*H41</f>
        <v>1078.56542498149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 t="n">
        <f aca="false">E14</f>
        <v>0.896417910447761</v>
      </c>
      <c r="F42" s="109" t="s">
        <v>134</v>
      </c>
      <c r="G42" s="71" t="n">
        <f aca="false">E42*$M$2</f>
        <v>22.6793731343284</v>
      </c>
      <c r="H42" s="28" t="n">
        <f aca="false">'APUS ARQUITECTURA'!J504</f>
        <v>15.9562854545455</v>
      </c>
      <c r="I42" s="1" t="n">
        <f aca="false">G42*H42</f>
        <v>361.878551661493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53"/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53"/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53"/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2.4288</v>
      </c>
      <c r="H52" s="28" t="n">
        <f aca="false">'APUS SANITARIAS'!J91</f>
        <v>158.148033208747</v>
      </c>
      <c r="I52" s="1" t="n">
        <f aca="false">G52*H52</f>
        <v>384.109943057404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/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/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/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15/33.5</f>
        <v>0.447761194029851</v>
      </c>
      <c r="F59" s="1" t="s">
        <v>215</v>
      </c>
      <c r="G59" s="71" t="n">
        <f aca="false">E59*$M$2</f>
        <v>11.3283582089552</v>
      </c>
      <c r="H59" s="28" t="n">
        <f aca="false">'APUS ELECTRICAS'!J5</f>
        <v>121.043104</v>
      </c>
      <c r="I59" s="1" t="n">
        <f aca="false">G59*H59</f>
        <v>1371.21964083582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15/33.5</f>
        <v>0.447761194029851</v>
      </c>
      <c r="F60" s="1" t="s">
        <v>215</v>
      </c>
      <c r="G60" s="71" t="n">
        <f aca="false">E60*$M$2</f>
        <v>11.3283582089552</v>
      </c>
      <c r="H60" s="28" t="n">
        <f aca="false">'APUS ELECTRICAS'!J26</f>
        <v>163.73838</v>
      </c>
      <c r="I60" s="1" t="n">
        <f aca="false">G60*H60</f>
        <v>1854.88702119403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15/33.5</f>
        <v>0.447761194029851</v>
      </c>
      <c r="F61" s="1" t="s">
        <v>215</v>
      </c>
      <c r="G61" s="71" t="n">
        <f aca="false">E61*$M$2</f>
        <v>11.3283582089552</v>
      </c>
      <c r="H61" s="28" t="n">
        <f aca="false">'APUS ELECTRICAS'!J48</f>
        <v>118.3069</v>
      </c>
      <c r="I61" s="1" t="n">
        <f aca="false">G61*H61</f>
        <v>1340.22294179104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4/33.5</f>
        <v>0.119402985074627</v>
      </c>
      <c r="F64" s="1" t="s">
        <v>150</v>
      </c>
      <c r="G64" s="71" t="n">
        <f aca="false">E64*$M$2</f>
        <v>3.02089552238806</v>
      </c>
      <c r="H64" s="28" t="n">
        <f aca="false">'APUS ELECTRICAS'!J74</f>
        <v>396.145032</v>
      </c>
      <c r="I64" s="1" t="n">
        <f aca="false">G64*H64</f>
        <v>1196.71275338507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4/33.5</f>
        <v>0.119402985074627</v>
      </c>
      <c r="F65" s="1" t="s">
        <v>150</v>
      </c>
      <c r="G65" s="71" t="n">
        <f aca="false">E65*$M$2</f>
        <v>3.02089552238806</v>
      </c>
      <c r="H65" s="28" t="n">
        <f aca="false">'APUS ELECTRICAS'!J88</f>
        <v>105.9636</v>
      </c>
      <c r="I65" s="1" t="n">
        <f aca="false">G65*H65</f>
        <v>320.104964776119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1100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1101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0.328122866894198</v>
      </c>
      <c r="H72" s="152" t="n">
        <f aca="false">'APUS COMUNICACIONES'!J5</f>
        <v>279.8531</v>
      </c>
      <c r="I72" s="1" t="n">
        <f aca="false">G72*H72</f>
        <v>91.8262014812287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0.172696245733788</v>
      </c>
      <c r="H73" s="152" t="n">
        <f aca="false">'APUS COMUNICACIONES'!J23</f>
        <v>95.8431</v>
      </c>
      <c r="I73" s="1" t="n">
        <f aca="false">G73*H73</f>
        <v>16.5517435494881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0.29358361774744</v>
      </c>
      <c r="H74" s="152" t="n">
        <f aca="false">'APUS COMUNICACIONES'!J41</f>
        <v>95.8431</v>
      </c>
      <c r="I74" s="1" t="n">
        <f aca="false">G74*H74</f>
        <v>28.1379640341297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0.0822034129692833</v>
      </c>
      <c r="H75" s="152" t="n">
        <f aca="false">'APUS COMUNICACIONES'!J59</f>
        <v>26.403334</v>
      </c>
      <c r="I75" s="1" t="n">
        <f aca="false">G75*H75</f>
        <v>2.17044416856792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1.71504641638225</v>
      </c>
      <c r="H76" s="152" t="n">
        <f aca="false">'APUS COMUNICACIONES'!J77</f>
        <v>25.004334</v>
      </c>
      <c r="I76" s="1" t="n">
        <f aca="false">G76*H76</f>
        <v>42.8835934207249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6.93841706484642</v>
      </c>
      <c r="H77" s="152" t="n">
        <f aca="false">'APUS COMUNICACIONES'!J95</f>
        <v>19.232788</v>
      </c>
      <c r="I77" s="1" t="n">
        <f aca="false">G77*H77</f>
        <v>133.445104463773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0.0407563139931741</v>
      </c>
      <c r="H78" s="152" t="n">
        <f aca="false">'APUS COMUNICACIONES'!J113</f>
        <v>16.371788</v>
      </c>
      <c r="I78" s="1" t="n">
        <f aca="false">G78*H78</f>
        <v>0.667253732357679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0.172696245733788</v>
      </c>
      <c r="H79" s="152" t="n">
        <f aca="false">'APUS COMUNICACIONES'!J131</f>
        <v>62.670152</v>
      </c>
      <c r="I79" s="1" t="n">
        <f aca="false">G79*H79</f>
        <v>10.8228999699659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0.328122866894198</v>
      </c>
      <c r="H80" s="152" t="n">
        <f aca="false">'APUS COMUNICACIONES'!J146</f>
        <v>58.850152</v>
      </c>
      <c r="I80" s="1" t="n">
        <f aca="false">G80*H80</f>
        <v>19.3100805913993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0.0518088737201365</v>
      </c>
      <c r="H81" s="152" t="n">
        <f aca="false">'APUS COMUNICACIONES'!J161</f>
        <v>57.880152</v>
      </c>
      <c r="I81" s="1" t="n">
        <f aca="false">G81*H81</f>
        <v>2.99870548587031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0.319488054607509</v>
      </c>
      <c r="H82" s="152" t="n">
        <f aca="false">'APUS COMUNICACIONES'!J176</f>
        <v>99.34046</v>
      </c>
      <c r="I82" s="1" t="n">
        <f aca="false">G82*H82</f>
        <v>31.738090309215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1124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0.0690784982935154</v>
      </c>
      <c r="H85" s="28" t="n">
        <f aca="false">'APUS COMUNICACIONES'!J422</f>
        <v>633.6988</v>
      </c>
      <c r="I85" s="1" t="n">
        <f aca="false">G85*H85</f>
        <v>43.7749614744027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0.0690784982935154</v>
      </c>
      <c r="H86" s="28" t="n">
        <f aca="false">'APUS COMUNICACIONES'!J440</f>
        <v>520.8388</v>
      </c>
      <c r="I86" s="1" t="n">
        <f aca="false">G86*H86</f>
        <v>35.9787621569966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0.172696245733788</v>
      </c>
      <c r="H88" s="28" t="n">
        <f aca="false">'APUS COMUNICACIONES'!J469</f>
        <v>367.6688</v>
      </c>
      <c r="I88" s="1" t="n">
        <f aca="false">G88*H88</f>
        <v>63.4950214334471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0.0690784982935154</v>
      </c>
      <c r="H90" s="28" t="n">
        <f aca="false">'APUS COMUNICACIONES'!J497</f>
        <v>96.14409</v>
      </c>
      <c r="I90" s="1" t="n">
        <f aca="false">G90*H90</f>
        <v>6.64148935699659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0.0690784982935154</v>
      </c>
      <c r="H91" s="28" t="n">
        <f aca="false">'APUS COMUNICACIONES'!J513</f>
        <v>64.33069</v>
      </c>
      <c r="I91" s="1" t="n">
        <f aca="false">G91*H91</f>
        <v>4.44386745938567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'!D21</f>
        <v>20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41285.9503985949</v>
      </c>
      <c r="L4" s="157" t="s">
        <v>1369</v>
      </c>
      <c r="M4" s="252" t="n">
        <f aca="false">J4/M2</f>
        <v>2064.29751992975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((3*3.5)-(1.2*1.2))/10.5</f>
        <v>0.862857142857143</v>
      </c>
      <c r="F6" s="227" t="s">
        <v>134</v>
      </c>
      <c r="G6" s="71" t="n">
        <f aca="false">E6*$M$2</f>
        <v>17.2571428571429</v>
      </c>
      <c r="H6" s="28" t="n">
        <f aca="false">'APUS ARQUITECTURA'!J5</f>
        <v>135.824337926792</v>
      </c>
      <c r="I6" s="1" t="n">
        <f aca="false">G6*H6</f>
        <v>2343.9400030795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759</v>
      </c>
      <c r="E7" s="253"/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761</v>
      </c>
      <c r="E8" s="253" t="n">
        <f aca="false">(2*(3/2)*3)/10.5</f>
        <v>0.857142857142857</v>
      </c>
      <c r="F8" s="227" t="s">
        <v>134</v>
      </c>
      <c r="G8" s="71" t="n">
        <f aca="false">E8*$M$2</f>
        <v>17.1428571428571</v>
      </c>
      <c r="H8" s="28" t="n">
        <f aca="false">'APUS ARQUITECTURA'!J50</f>
        <v>141.066794285714</v>
      </c>
      <c r="I8" s="1" t="n">
        <f aca="false">G8*H8</f>
        <v>2418.28790204082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v>3.1</v>
      </c>
      <c r="F13" s="1" t="s">
        <v>134</v>
      </c>
      <c r="G13" s="71" t="n">
        <f aca="false">E13*$M$2</f>
        <v>62</v>
      </c>
      <c r="H13" s="28" t="n">
        <f aca="false">'APUS ARQUITECTURA'!J127</f>
        <v>27.1229651333333</v>
      </c>
      <c r="I13" s="1" t="n">
        <f aca="false">G13*H13</f>
        <v>1681.62383826667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((3.3*3.5)-(1.2*1.2))/10.5</f>
        <v>0.962857142857143</v>
      </c>
      <c r="F14" s="1" t="s">
        <v>134</v>
      </c>
      <c r="G14" s="71" t="n">
        <f aca="false">E14*$M$2</f>
        <v>19.2571428571429</v>
      </c>
      <c r="H14" s="28" t="n">
        <f aca="false">'APUS ARQUITECTURA'!J148</f>
        <v>35.8409626666667</v>
      </c>
      <c r="I14" s="1" t="n">
        <f aca="false">G14*H14</f>
        <v>690.194538209524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 t="n">
        <v>1.1</v>
      </c>
      <c r="F19" s="1" t="s">
        <v>204</v>
      </c>
      <c r="G19" s="71" t="n">
        <f aca="false">E19*$M$2</f>
        <v>22</v>
      </c>
      <c r="H19" s="28" t="n">
        <f aca="false">'APUS ARQUITECTURA'!J212</f>
        <v>62.663358</v>
      </c>
      <c r="I19" s="1" t="n">
        <f aca="false">G19*H19</f>
        <v>1378.593876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f aca="false">1</f>
        <v>1</v>
      </c>
      <c r="F21" s="1" t="s">
        <v>134</v>
      </c>
      <c r="G21" s="71" t="n">
        <f aca="false">E21*$M$2</f>
        <v>20</v>
      </c>
      <c r="H21" s="28" t="n">
        <f aca="false">'APUS ARQUITECTURA'!J232</f>
        <v>40.18468579</v>
      </c>
      <c r="I21" s="1" t="n">
        <f aca="false">G21*H21</f>
        <v>803.6937158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 t="n">
        <f aca="false">1</f>
        <v>1</v>
      </c>
      <c r="F22" s="1" t="s">
        <v>134</v>
      </c>
      <c r="G22" s="71" t="n">
        <f aca="false">E22*$M$2</f>
        <v>20</v>
      </c>
      <c r="H22" s="28" t="n">
        <f aca="false">'APUS ARQUITECTURA'!J252</f>
        <v>206.773372</v>
      </c>
      <c r="I22" s="1" t="n">
        <f aca="false">G22*H22</f>
        <v>4135.46744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8.19354838709677</v>
      </c>
      <c r="H29" s="28" t="n">
        <f aca="false">'APUS ARQUITECTURA'!J364</f>
        <v>26.68748</v>
      </c>
      <c r="I29" s="1" t="n">
        <f aca="false">G29*H29</f>
        <v>218.665158709677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 t="n">
        <f aca="false">(3.5+(3*2))/10.5</f>
        <v>0.904761904761905</v>
      </c>
      <c r="F30" s="1" t="s">
        <v>145</v>
      </c>
      <c r="G30" s="71" t="n">
        <f aca="false">E30*$M$2</f>
        <v>18.0952380952381</v>
      </c>
      <c r="H30" s="28" t="n">
        <f aca="false">'APUS ARQUITECTURA'!J383</f>
        <v>36.537022</v>
      </c>
      <c r="I30" s="1" t="n">
        <f aca="false">G30*H30</f>
        <v>661.146112380953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v>0.14</v>
      </c>
      <c r="F35" s="1" t="s">
        <v>134</v>
      </c>
      <c r="G35" s="71" t="n">
        <f aca="false">E35*$M$2</f>
        <v>2.8</v>
      </c>
      <c r="H35" s="28" t="n">
        <f aca="false">'APUS ARQUITECTURA'!J449</f>
        <v>560.6226</v>
      </c>
      <c r="I35" s="1" t="n">
        <f aca="false">G35*H35</f>
        <v>1569.74328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 t="n">
        <v>0.19</v>
      </c>
      <c r="F36" s="1" t="s">
        <v>134</v>
      </c>
      <c r="G36" s="71" t="n">
        <f aca="false">E36*$M$2</f>
        <v>3.8</v>
      </c>
      <c r="H36" s="28" t="n">
        <f aca="false">'APUS ARQUITECTURA'!J456</f>
        <v>367.870834240906</v>
      </c>
      <c r="I36" s="1" t="n">
        <f aca="false">G36*H36</f>
        <v>1397.90917011544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 t="n">
        <f aca="false">(2.85+2.9+1*2+1.4+3.2)*2.85/(14.6+14.5)</f>
        <v>1.20953608247423</v>
      </c>
      <c r="F37" s="1" t="s">
        <v>134</v>
      </c>
      <c r="G37" s="71" t="n">
        <f aca="false">E37*$M$2</f>
        <v>24.1907216494845</v>
      </c>
      <c r="H37" s="28" t="n">
        <f aca="false">'APUS ARQUITECTURA'!J463</f>
        <v>514.537194137164</v>
      </c>
      <c r="I37" s="1" t="n">
        <f aca="false">G37*H37</f>
        <v>12447.0260416789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2.6</v>
      </c>
      <c r="H38" s="28" t="n">
        <f aca="false">'APUS ARQUITECTURA'!J470</f>
        <v>622.13</v>
      </c>
      <c r="I38" s="1" t="n">
        <f aca="false">G38*H38</f>
        <v>1617.538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v>3.27</v>
      </c>
      <c r="F41" s="1" t="s">
        <v>134</v>
      </c>
      <c r="G41" s="71" t="n">
        <f aca="false">E41*$M$2</f>
        <v>65.4</v>
      </c>
      <c r="H41" s="28" t="n">
        <f aca="false">'APUS ARQUITECTURA'!J484</f>
        <v>15.625164</v>
      </c>
      <c r="I41" s="1" t="n">
        <f aca="false">G41*H41</f>
        <v>1021.8857256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 t="n">
        <f aca="false">E14</f>
        <v>0.962857142857143</v>
      </c>
      <c r="F42" s="109" t="s">
        <v>134</v>
      </c>
      <c r="G42" s="71" t="n">
        <f aca="false">E42*$M$2</f>
        <v>19.2571428571429</v>
      </c>
      <c r="H42" s="28" t="n">
        <f aca="false">'APUS ARQUITECTURA'!J504</f>
        <v>15.9562854545455</v>
      </c>
      <c r="I42" s="1" t="n">
        <f aca="false">G42*H42</f>
        <v>307.272468467532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53"/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53"/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53"/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1.92</v>
      </c>
      <c r="H52" s="28" t="n">
        <f aca="false">'APUS SANITARIAS'!J91</f>
        <v>158.148033208747</v>
      </c>
      <c r="I52" s="1" t="n">
        <f aca="false">G52*H52</f>
        <v>303.644223760793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/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/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/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9/10.5</f>
        <v>0.857142857142857</v>
      </c>
      <c r="F59" s="1" t="s">
        <v>215</v>
      </c>
      <c r="G59" s="71" t="n">
        <f aca="false">E59*$M$2</f>
        <v>17.1428571428571</v>
      </c>
      <c r="H59" s="28" t="n">
        <f aca="false">'APUS ELECTRICAS'!J5</f>
        <v>121.043104</v>
      </c>
      <c r="I59" s="1" t="n">
        <f aca="false">G59*H59</f>
        <v>2075.02464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9/10.5</f>
        <v>0.857142857142857</v>
      </c>
      <c r="F60" s="1" t="s">
        <v>215</v>
      </c>
      <c r="G60" s="71" t="n">
        <f aca="false">E60*$M$2</f>
        <v>17.1428571428571</v>
      </c>
      <c r="H60" s="28" t="n">
        <f aca="false">'APUS ELECTRICAS'!J26</f>
        <v>163.73838</v>
      </c>
      <c r="I60" s="1" t="n">
        <f aca="false">G60*H60</f>
        <v>2806.94365714286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9/10.5</f>
        <v>0.857142857142857</v>
      </c>
      <c r="F61" s="1" t="s">
        <v>215</v>
      </c>
      <c r="G61" s="71" t="n">
        <f aca="false">E61*$M$2</f>
        <v>17.1428571428571</v>
      </c>
      <c r="H61" s="28" t="n">
        <f aca="false">'APUS ELECTRICAS'!J48</f>
        <v>118.3069</v>
      </c>
      <c r="I61" s="1" t="n">
        <f aca="false">G61*H61</f>
        <v>2028.11828571429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1/10.5</f>
        <v>0.0952380952380952</v>
      </c>
      <c r="F64" s="1" t="s">
        <v>150</v>
      </c>
      <c r="G64" s="71" t="n">
        <f aca="false">E64*$M$2</f>
        <v>1.9047619047619</v>
      </c>
      <c r="H64" s="28" t="n">
        <f aca="false">'APUS ELECTRICAS'!J74</f>
        <v>396.145032</v>
      </c>
      <c r="I64" s="1" t="n">
        <f aca="false">G64*H64</f>
        <v>754.561965714286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1/10.5</f>
        <v>0.0952380952380952</v>
      </c>
      <c r="F65" s="1" t="s">
        <v>150</v>
      </c>
      <c r="G65" s="71" t="n">
        <f aca="false">E65*$M$2</f>
        <v>1.9047619047619</v>
      </c>
      <c r="H65" s="28" t="n">
        <f aca="false">'APUS ELECTRICAS'!J88</f>
        <v>105.9636</v>
      </c>
      <c r="I65" s="1" t="n">
        <f aca="false">G65*H65</f>
        <v>201.835428571429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1100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1101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0.25938566552901</v>
      </c>
      <c r="H72" s="152" t="n">
        <f aca="false">'APUS COMUNICACIONES'!J5</f>
        <v>279.8531</v>
      </c>
      <c r="I72" s="1" t="n">
        <f aca="false">G72*H72</f>
        <v>72.5898825938566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0.136518771331058</v>
      </c>
      <c r="H73" s="152" t="n">
        <f aca="false">'APUS COMUNICACIONES'!J23</f>
        <v>95.8431</v>
      </c>
      <c r="I73" s="1" t="n">
        <f aca="false">G73*H73</f>
        <v>13.0843822525597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0.232081911262799</v>
      </c>
      <c r="H74" s="152" t="n">
        <f aca="false">'APUS COMUNICACIONES'!J41</f>
        <v>95.8431</v>
      </c>
      <c r="I74" s="1" t="n">
        <f aca="false">G74*H74</f>
        <v>22.2434498293515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0.0649829351535836</v>
      </c>
      <c r="H75" s="152" t="n">
        <f aca="false">'APUS COMUNICACIONES'!J59</f>
        <v>26.403334</v>
      </c>
      <c r="I75" s="1" t="n">
        <f aca="false">G75*H75</f>
        <v>1.71576614116041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1.35576791808874</v>
      </c>
      <c r="H76" s="152" t="n">
        <f aca="false">'APUS COMUNICACIONES'!J77</f>
        <v>25.004334</v>
      </c>
      <c r="I76" s="1" t="n">
        <f aca="false">G76*H76</f>
        <v>33.9000738503754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5.48491467576792</v>
      </c>
      <c r="H77" s="152" t="n">
        <f aca="false">'APUS COMUNICACIONES'!J95</f>
        <v>19.232788</v>
      </c>
      <c r="I77" s="1" t="n">
        <f aca="false">G77*H77</f>
        <v>105.490201157133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0.0322184300341297</v>
      </c>
      <c r="H78" s="152" t="n">
        <f aca="false">'APUS COMUNICACIONES'!J113</f>
        <v>16.371788</v>
      </c>
      <c r="I78" s="1" t="n">
        <f aca="false">G78*H78</f>
        <v>0.527473306211604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0.136518771331058</v>
      </c>
      <c r="H79" s="152" t="n">
        <f aca="false">'APUS COMUNICACIONES'!J131</f>
        <v>62.670152</v>
      </c>
      <c r="I79" s="1" t="n">
        <f aca="false">G79*H79</f>
        <v>8.55565215017065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0.25938566552901</v>
      </c>
      <c r="H80" s="152" t="n">
        <f aca="false">'APUS COMUNICACIONES'!J146</f>
        <v>58.850152</v>
      </c>
      <c r="I80" s="1" t="n">
        <f aca="false">G80*H80</f>
        <v>15.2648858430034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0.0409556313993174</v>
      </c>
      <c r="H81" s="152" t="n">
        <f aca="false">'APUS COMUNICACIONES'!J161</f>
        <v>57.880152</v>
      </c>
      <c r="I81" s="1" t="n">
        <f aca="false">G81*H81</f>
        <v>2.37051817064846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0.252559726962457</v>
      </c>
      <c r="H82" s="152" t="n">
        <f aca="false">'APUS COMUNICACIONES'!J176</f>
        <v>99.34046</v>
      </c>
      <c r="I82" s="1" t="n">
        <f aca="false">G82*H82</f>
        <v>25.0893994539249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1124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0.0546075085324232</v>
      </c>
      <c r="H85" s="28" t="n">
        <f aca="false">'APUS COMUNICACIONES'!J422</f>
        <v>633.6988</v>
      </c>
      <c r="I85" s="1" t="n">
        <f aca="false">G85*H85</f>
        <v>34.6047126279864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0.0546075085324232</v>
      </c>
      <c r="H86" s="28" t="n">
        <f aca="false">'APUS COMUNICACIONES'!J440</f>
        <v>520.8388</v>
      </c>
      <c r="I86" s="1" t="n">
        <f aca="false">G86*H86</f>
        <v>28.4417092150171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0.136518771331058</v>
      </c>
      <c r="H88" s="28" t="n">
        <f aca="false">'APUS COMUNICACIONES'!J469</f>
        <v>367.6688</v>
      </c>
      <c r="I88" s="1" t="n">
        <f aca="false">G88*H88</f>
        <v>50.1936928327645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0.0546075085324232</v>
      </c>
      <c r="H90" s="28" t="n">
        <f aca="false">'APUS COMUNICACIONES'!J497</f>
        <v>96.14409</v>
      </c>
      <c r="I90" s="1" t="n">
        <f aca="false">G90*H90</f>
        <v>5.25018921501707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0.0546075085324232</v>
      </c>
      <c r="H91" s="28" t="n">
        <f aca="false">'APUS COMUNICACIONES'!J513</f>
        <v>64.33069</v>
      </c>
      <c r="I91" s="1" t="n">
        <f aca="false">G91*H91</f>
        <v>3.51293870307167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'!D22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((3*3.5)-(1.2*1.2))/10.5</f>
        <v>0.862857142857143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759</v>
      </c>
      <c r="E7" s="253"/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761</v>
      </c>
      <c r="E8" s="253" t="n">
        <f aca="false">(2*(3/2)*3)/10.5</f>
        <v>0.857142857142857</v>
      </c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v>3.1</v>
      </c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((3.3*3.5)-(1.2*1.2))/10.5</f>
        <v>0.962857142857143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 t="n">
        <v>1.1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f aca="false">1</f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 t="n">
        <f aca="false">1</f>
        <v>1</v>
      </c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 t="n">
        <f aca="false">(3.5+(3*2))/10.5</f>
        <v>0.904761904761905</v>
      </c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v>0.14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 t="n">
        <v>0.19</v>
      </c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 t="n">
        <f aca="false">(2.85+2.9+1*2+1.4+3.2)*2.85/(14.6+14.5)</f>
        <v>1.20953608247423</v>
      </c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v>3.27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 t="n">
        <f aca="false">E14</f>
        <v>0.962857142857143</v>
      </c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53"/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53"/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53"/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/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/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/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9/10.5</f>
        <v>0.857142857142857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9/10.5</f>
        <v>0.857142857142857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9/10.5</f>
        <v>0.857142857142857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1/10.5</f>
        <v>0.0952380952380952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1/10.5</f>
        <v>0.0952380952380952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1100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1101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1124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'!D23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(((3.15+4.45+4.2)*3)+(2.8*2))/17.5</f>
        <v>2.34285714285714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759</v>
      </c>
      <c r="E7" s="253"/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761</v>
      </c>
      <c r="E8" s="253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f aca="false">(((3.15+4.45+4.2+0.8+0.75)*3)+(2.8*2))/17.5</f>
        <v>2.60857142857143</v>
      </c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2.8*2.3/17.5</f>
        <v>0.368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 t="n">
        <v>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 t="n">
        <v>1</v>
      </c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 t="n">
        <f aca="false">(5+(2*3))/17.5</f>
        <v>0.628571428571429</v>
      </c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f aca="false">1*2.1/17.5</f>
        <v>0.12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 t="n">
        <f aca="false">(2.8*1)/17.5</f>
        <v>0.16</v>
      </c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E13+1</f>
        <v>3.60857142857143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 t="n">
        <f aca="false">E14</f>
        <v>0.368</v>
      </c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53"/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53"/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53"/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/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/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/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9/17.5</f>
        <v>0.514285714285714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9/17.5</f>
        <v>0.514285714285714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9/17.5</f>
        <v>0.514285714285714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2/17.5</f>
        <v>0.114285714285714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2/17.5</f>
        <v>0.114285714285714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 t="n">
        <f aca="false">1/17.5</f>
        <v>0.0571428571428571</v>
      </c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1100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1101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1124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'!D24</f>
        <v>8.6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10500.9788133325</v>
      </c>
      <c r="L4" s="157" t="s">
        <v>1369</v>
      </c>
      <c r="M4" s="252" t="n">
        <f aca="false">J4/M2</f>
        <v>1221.04404806192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v>0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759</v>
      </c>
      <c r="E7" s="253"/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761</v>
      </c>
      <c r="E8" s="253" t="n">
        <f aca="false">(3.25+1.6+1.1+3.3)*3/16.6</f>
        <v>1.67168674698795</v>
      </c>
      <c r="F8" s="227" t="s">
        <v>134</v>
      </c>
      <c r="G8" s="71" t="n">
        <f aca="false">E8*$M$2</f>
        <v>14.3765060240964</v>
      </c>
      <c r="H8" s="28" t="n">
        <f aca="false">'APUS ARQUITECTURA'!J50</f>
        <v>141.066794285714</v>
      </c>
      <c r="I8" s="1" t="n">
        <f aca="false">G8*H8</f>
        <v>2028.04761784854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f aca="false">(1.6+0.4)*3/16.6</f>
        <v>0.36144578313253</v>
      </c>
      <c r="F13" s="1" t="s">
        <v>134</v>
      </c>
      <c r="G13" s="71" t="n">
        <f aca="false">E13*$M$2</f>
        <v>3.10843373493976</v>
      </c>
      <c r="H13" s="28" t="n">
        <f aca="false">'APUS ARQUITECTURA'!J127</f>
        <v>27.1229651333333</v>
      </c>
      <c r="I13" s="1" t="n">
        <f aca="false">G13*H13</f>
        <v>84.3099398120482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(2.2*3.3)/16.6</f>
        <v>0.437349397590361</v>
      </c>
      <c r="F14" s="1" t="s">
        <v>134</v>
      </c>
      <c r="G14" s="71" t="n">
        <f aca="false">E14*$M$2</f>
        <v>3.76120481927711</v>
      </c>
      <c r="H14" s="28" t="n">
        <f aca="false">'APUS ARQUITECTURA'!J148</f>
        <v>35.8409626666667</v>
      </c>
      <c r="I14" s="1" t="n">
        <f aca="false">G14*H14</f>
        <v>134.805201509398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 t="n">
        <v>1.1</v>
      </c>
      <c r="F19" s="1" t="s">
        <v>204</v>
      </c>
      <c r="G19" s="71" t="n">
        <f aca="false">E19*$M$2</f>
        <v>9.46</v>
      </c>
      <c r="H19" s="28" t="n">
        <f aca="false">'APUS ARQUITECTURA'!J212</f>
        <v>62.663358</v>
      </c>
      <c r="I19" s="1" t="n">
        <f aca="false">G19*H19</f>
        <v>592.79536668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v>1</v>
      </c>
      <c r="F21" s="1" t="s">
        <v>134</v>
      </c>
      <c r="G21" s="71" t="n">
        <f aca="false">E21*$M$2</f>
        <v>8.6</v>
      </c>
      <c r="H21" s="28" t="n">
        <f aca="false">'APUS ARQUITECTURA'!J232</f>
        <v>40.18468579</v>
      </c>
      <c r="I21" s="1" t="n">
        <f aca="false">G21*H21</f>
        <v>345.588297794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 t="n">
        <v>1</v>
      </c>
      <c r="F22" s="1" t="s">
        <v>134</v>
      </c>
      <c r="G22" s="71" t="n">
        <f aca="false">E22*$M$2</f>
        <v>8.6</v>
      </c>
      <c r="H22" s="28" t="n">
        <f aca="false">'APUS ARQUITECTURA'!J252</f>
        <v>206.773372</v>
      </c>
      <c r="I22" s="1" t="n">
        <f aca="false">G22*H22</f>
        <v>1778.2509992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3.52322580645161</v>
      </c>
      <c r="H29" s="28" t="n">
        <f aca="false">'APUS ARQUITECTURA'!J364</f>
        <v>26.68748</v>
      </c>
      <c r="I29" s="1" t="n">
        <f aca="false">G29*H29</f>
        <v>94.0260182451613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 t="n">
        <f aca="false">(3.25+1.6+0.4+1.6+0.4+0.7+3.3)/16.6</f>
        <v>0.677710843373494</v>
      </c>
      <c r="F30" s="1" t="s">
        <v>145</v>
      </c>
      <c r="G30" s="71" t="n">
        <f aca="false">E30*$M$2</f>
        <v>5.82831325301205</v>
      </c>
      <c r="H30" s="28" t="n">
        <f aca="false">'APUS ARQUITECTURA'!J383</f>
        <v>36.537022</v>
      </c>
      <c r="I30" s="1" t="n">
        <f aca="false">G30*H30</f>
        <v>212.949209548193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f aca="false">1*2.1/16.6</f>
        <v>0.126506024096386</v>
      </c>
      <c r="F35" s="1" t="s">
        <v>134</v>
      </c>
      <c r="G35" s="71" t="n">
        <f aca="false">E35*$M$2</f>
        <v>1.08795180722892</v>
      </c>
      <c r="H35" s="28" t="n">
        <f aca="false">'APUS ARQUITECTURA'!J449</f>
        <v>560.6226</v>
      </c>
      <c r="I35" s="1" t="n">
        <f aca="false">G35*H35</f>
        <v>609.930370843374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 t="n">
        <f aca="false">(3*1.2*1.2)/16.6</f>
        <v>0.260240963855422</v>
      </c>
      <c r="F36" s="1" t="s">
        <v>134</v>
      </c>
      <c r="G36" s="71" t="n">
        <f aca="false">E36*$M$2</f>
        <v>2.23807228915663</v>
      </c>
      <c r="H36" s="28" t="n">
        <f aca="false">'APUS ARQUITECTURA'!J456</f>
        <v>367.870834240906</v>
      </c>
      <c r="I36" s="1" t="n">
        <f aca="false">G36*H36</f>
        <v>823.321520103502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1.118</v>
      </c>
      <c r="H38" s="28" t="n">
        <f aca="false">'APUS ARQUITECTURA'!J470</f>
        <v>622.13</v>
      </c>
      <c r="I38" s="1" t="n">
        <f aca="false">G38*H38</f>
        <v>695.54134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E13+E14+E19</f>
        <v>1.89879518072289</v>
      </c>
      <c r="F41" s="1" t="s">
        <v>134</v>
      </c>
      <c r="G41" s="71" t="n">
        <f aca="false">E41*$M$2</f>
        <v>16.3296385542169</v>
      </c>
      <c r="H41" s="28" t="n">
        <f aca="false">'APUS ARQUITECTURA'!J484</f>
        <v>15.625164</v>
      </c>
      <c r="I41" s="1" t="n">
        <f aca="false">G41*H41</f>
        <v>255.153280470361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 t="n">
        <f aca="false">E14</f>
        <v>0.437349397590361</v>
      </c>
      <c r="F42" s="109" t="s">
        <v>134</v>
      </c>
      <c r="G42" s="71" t="n">
        <f aca="false">E42*$M$2</f>
        <v>3.76120481927711</v>
      </c>
      <c r="H42" s="28" t="n">
        <f aca="false">'APUS ARQUITECTURA'!J504</f>
        <v>15.9562854545455</v>
      </c>
      <c r="I42" s="1" t="n">
        <f aca="false">G42*H42</f>
        <v>60.0148577493976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53"/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53"/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53"/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0.8256</v>
      </c>
      <c r="H52" s="28" t="n">
        <f aca="false">'APUS SANITARIAS'!J91</f>
        <v>158.148033208747</v>
      </c>
      <c r="I52" s="1" t="n">
        <f aca="false">G52*H52</f>
        <v>130.567016217141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/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/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/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9/16.6</f>
        <v>0.542168674698795</v>
      </c>
      <c r="F59" s="1" t="s">
        <v>215</v>
      </c>
      <c r="G59" s="71" t="n">
        <f aca="false">E59*$M$2</f>
        <v>4.66265060240964</v>
      </c>
      <c r="H59" s="28" t="n">
        <f aca="false">'APUS ELECTRICAS'!J5</f>
        <v>121.043104</v>
      </c>
      <c r="I59" s="1" t="n">
        <f aca="false">G59*H59</f>
        <v>564.381701783133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9/16.6</f>
        <v>0.542168674698795</v>
      </c>
      <c r="F60" s="1" t="s">
        <v>215</v>
      </c>
      <c r="G60" s="71" t="n">
        <f aca="false">E60*$M$2</f>
        <v>4.66265060240964</v>
      </c>
      <c r="H60" s="28" t="n">
        <f aca="false">'APUS ELECTRICAS'!J26</f>
        <v>163.73838</v>
      </c>
      <c r="I60" s="1" t="n">
        <f aca="false">G60*H60</f>
        <v>763.454856144578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9/16.6</f>
        <v>0.542168674698795</v>
      </c>
      <c r="F61" s="1" t="s">
        <v>215</v>
      </c>
      <c r="G61" s="71" t="n">
        <f aca="false">E61*$M$2</f>
        <v>4.66265060240964</v>
      </c>
      <c r="H61" s="28" t="n">
        <f aca="false">'APUS ELECTRICAS'!J48</f>
        <v>118.3069</v>
      </c>
      <c r="I61" s="1" t="n">
        <f aca="false">G61*H61</f>
        <v>551.623738554217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2/16.6</f>
        <v>0.120481927710843</v>
      </c>
      <c r="F64" s="1" t="s">
        <v>150</v>
      </c>
      <c r="G64" s="71" t="n">
        <f aca="false">E64*$M$2</f>
        <v>1.03614457831325</v>
      </c>
      <c r="H64" s="28" t="n">
        <f aca="false">'APUS ELECTRICAS'!J74</f>
        <v>396.145032</v>
      </c>
      <c r="I64" s="1" t="n">
        <f aca="false">G64*H64</f>
        <v>410.46352713253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2/16.6</f>
        <v>0.120481927710843</v>
      </c>
      <c r="F65" s="1" t="s">
        <v>150</v>
      </c>
      <c r="G65" s="71" t="n">
        <f aca="false">E65*$M$2</f>
        <v>1.03614457831325</v>
      </c>
      <c r="H65" s="28" t="n">
        <f aca="false">'APUS ELECTRICAS'!J88</f>
        <v>105.9636</v>
      </c>
      <c r="I65" s="1" t="n">
        <f aca="false">G65*H65</f>
        <v>109.793609638554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 t="n">
        <f aca="false">1/16.6</f>
        <v>0.0602409638554217</v>
      </c>
      <c r="F66" s="1" t="s">
        <v>150</v>
      </c>
      <c r="G66" s="71" t="n">
        <f aca="false">E66*$M$2</f>
        <v>0.518072289156626</v>
      </c>
      <c r="H66" s="28" t="n">
        <f aca="false">'APUS ELECTRICAS'!J106</f>
        <v>143.11</v>
      </c>
      <c r="I66" s="1" t="n">
        <f aca="false">G66*H66</f>
        <v>74.1413253012048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1100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1101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0.111535836177474</v>
      </c>
      <c r="H72" s="152" t="n">
        <f aca="false">'APUS COMUNICACIONES'!J5</f>
        <v>279.8531</v>
      </c>
      <c r="I72" s="1" t="n">
        <f aca="false">G72*H72</f>
        <v>31.2136495153584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0.0587030716723549</v>
      </c>
      <c r="H73" s="152" t="n">
        <f aca="false">'APUS COMUNICACIONES'!J23</f>
        <v>95.8431</v>
      </c>
      <c r="I73" s="1" t="n">
        <f aca="false">G73*H73</f>
        <v>5.62628436860068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0.0997952218430034</v>
      </c>
      <c r="H74" s="152" t="n">
        <f aca="false">'APUS COMUNICACIONES'!J41</f>
        <v>95.8431</v>
      </c>
      <c r="I74" s="1" t="n">
        <f aca="false">G74*H74</f>
        <v>9.56468342662116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0.027942662116041</v>
      </c>
      <c r="H75" s="152" t="n">
        <f aca="false">'APUS COMUNICACIONES'!J59</f>
        <v>26.403334</v>
      </c>
      <c r="I75" s="1" t="n">
        <f aca="false">G75*H75</f>
        <v>0.737779440698976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0.582980204778157</v>
      </c>
      <c r="H76" s="152" t="n">
        <f aca="false">'APUS COMUNICACIONES'!J77</f>
        <v>25.004334</v>
      </c>
      <c r="I76" s="1" t="n">
        <f aca="false">G76*H76</f>
        <v>14.5770317556614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2.3585133105802</v>
      </c>
      <c r="H77" s="152" t="n">
        <f aca="false">'APUS COMUNICACIONES'!J95</f>
        <v>19.232788</v>
      </c>
      <c r="I77" s="1" t="n">
        <f aca="false">G77*H77</f>
        <v>45.3607864975672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0.0138539249146758</v>
      </c>
      <c r="H78" s="152" t="n">
        <f aca="false">'APUS COMUNICACIONES'!J113</f>
        <v>16.371788</v>
      </c>
      <c r="I78" s="1" t="n">
        <f aca="false">G78*H78</f>
        <v>0.22681352167099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0.0587030716723549</v>
      </c>
      <c r="H79" s="152" t="n">
        <f aca="false">'APUS COMUNICACIONES'!J131</f>
        <v>62.670152</v>
      </c>
      <c r="I79" s="1" t="n">
        <f aca="false">G79*H79</f>
        <v>3.67893042457338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0.111535836177474</v>
      </c>
      <c r="H80" s="152" t="n">
        <f aca="false">'APUS COMUNICACIONES'!J146</f>
        <v>58.850152</v>
      </c>
      <c r="I80" s="1" t="n">
        <f aca="false">G80*H80</f>
        <v>6.56390091249147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0.0176109215017065</v>
      </c>
      <c r="H81" s="152" t="n">
        <f aca="false">'APUS COMUNICACIONES'!J161</f>
        <v>57.880152</v>
      </c>
      <c r="I81" s="1" t="n">
        <f aca="false">G81*H81</f>
        <v>1.01932281337884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0.108600682593857</v>
      </c>
      <c r="H82" s="152" t="n">
        <f aca="false">'APUS COMUNICACIONES'!J176</f>
        <v>99.34046</v>
      </c>
      <c r="I82" s="1" t="n">
        <f aca="false">G82*H82</f>
        <v>10.7884417651877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1124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0.023481228668942</v>
      </c>
      <c r="H85" s="28" t="n">
        <f aca="false">'APUS COMUNICACIONES'!J422</f>
        <v>633.6988</v>
      </c>
      <c r="I85" s="1" t="n">
        <f aca="false">G85*H85</f>
        <v>14.8800264300341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0.023481228668942</v>
      </c>
      <c r="H86" s="28" t="n">
        <f aca="false">'APUS COMUNICACIONES'!J440</f>
        <v>520.8388</v>
      </c>
      <c r="I86" s="1" t="n">
        <f aca="false">G86*H86</f>
        <v>12.2299349624573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0.0587030716723549</v>
      </c>
      <c r="H88" s="28" t="n">
        <f aca="false">'APUS COMUNICACIONES'!J469</f>
        <v>367.6688</v>
      </c>
      <c r="I88" s="1" t="n">
        <f aca="false">G88*H88</f>
        <v>21.5832879180887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0.023481228668942</v>
      </c>
      <c r="H90" s="28" t="n">
        <f aca="false">'APUS COMUNICACIONES'!J497</f>
        <v>96.14409</v>
      </c>
      <c r="I90" s="1" t="n">
        <f aca="false">G90*H90</f>
        <v>2.25758136245734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0.023481228668942</v>
      </c>
      <c r="H91" s="28" t="n">
        <f aca="false">'APUS COMUNICACIONES'!J513</f>
        <v>64.33069</v>
      </c>
      <c r="I91" s="1" t="n">
        <f aca="false">G91*H91</f>
        <v>1.51056364232082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'!D25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v>0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759</v>
      </c>
      <c r="E7" s="253"/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761</v>
      </c>
      <c r="E8" s="253" t="n">
        <f aca="false">(3.25+1.6+1.1+3.3)*3/16.6</f>
        <v>1.67168674698795</v>
      </c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f aca="false">(1.6+0.4)*3/16.6</f>
        <v>0.36144578313253</v>
      </c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(2.2*3.3)/16.6</f>
        <v>0.437349397590361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 t="n">
        <v>1.1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 t="n">
        <v>1</v>
      </c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 t="n">
        <f aca="false">(3.25+1.6+0.4+1.6+0.4+0.7+3.3)/16.6</f>
        <v>0.677710843373494</v>
      </c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f aca="false">1*2.1/16.6</f>
        <v>0.126506024096386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 t="n">
        <f aca="false">(3*1.2*1.2)/16.6</f>
        <v>0.260240963855422</v>
      </c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E13+E14+E19</f>
        <v>1.89879518072289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 t="n">
        <f aca="false">E14</f>
        <v>0.437349397590361</v>
      </c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53"/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53"/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53"/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/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/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/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9/16.6</f>
        <v>0.542168674698795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9/16.6</f>
        <v>0.542168674698795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9/16.6</f>
        <v>0.542168674698795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2/16.6</f>
        <v>0.120481927710843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2/16.6</f>
        <v>0.120481927710843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 t="n">
        <f aca="false">1/16.6</f>
        <v>0.0602409638554217</v>
      </c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1100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1101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1124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6" activeCellId="0" sqref="H6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'!D26</f>
        <v>111.1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79292.3358849589</v>
      </c>
      <c r="L4" s="157" t="s">
        <v>1369</v>
      </c>
      <c r="M4" s="252" t="n">
        <f aca="false">J4/M2</f>
        <v>713.702393203951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4" t="n">
        <f aca="false">2.8*2/37</f>
        <v>0.151351351351351</v>
      </c>
      <c r="F6" s="227" t="s">
        <v>134</v>
      </c>
      <c r="G6" s="71" t="n">
        <f aca="false">E6*$M$2</f>
        <v>16.8151351351351</v>
      </c>
      <c r="H6" s="28" t="n">
        <f aca="false">'APUS ARQUITECTURA'!J5</f>
        <v>135.824337926792</v>
      </c>
      <c r="I6" s="1" t="n">
        <f aca="false">G6*H6</f>
        <v>2283.90459687927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759</v>
      </c>
      <c r="E7" s="253"/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761</v>
      </c>
      <c r="E8" s="254" t="n">
        <f aca="false">3.45*3/37</f>
        <v>0.27972972972973</v>
      </c>
      <c r="F8" s="227" t="s">
        <v>134</v>
      </c>
      <c r="G8" s="71" t="n">
        <f aca="false">E8*$M$2</f>
        <v>31.077972972973</v>
      </c>
      <c r="H8" s="28" t="n">
        <f aca="false">'APUS ARQUITECTURA'!J50</f>
        <v>141.066794285714</v>
      </c>
      <c r="I8" s="1" t="n">
        <f aca="false">G8*H8</f>
        <v>4384.07002019537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763</v>
      </c>
      <c r="E9" s="256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765</v>
      </c>
      <c r="E10" s="256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4" t="n">
        <f aca="false">((1.15+0.65+0.9+1.6+0.65+0.6)*3+(2.8*2))/37</f>
        <v>0.601351351351351</v>
      </c>
      <c r="F13" s="1" t="s">
        <v>134</v>
      </c>
      <c r="G13" s="71" t="n">
        <f aca="false">E13*$M$2</f>
        <v>66.8101351351351</v>
      </c>
      <c r="H13" s="28" t="n">
        <f aca="false">'APUS ARQUITECTURA'!J127</f>
        <v>27.1229651333333</v>
      </c>
      <c r="I13" s="1" t="n">
        <f aca="false">G13*H13</f>
        <v>1812.08896582356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4" t="n">
        <f aca="false">((2.8*2)+((0.65+1.6+0.9)*3))/37</f>
        <v>0.406756756756757</v>
      </c>
      <c r="F14" s="1" t="s">
        <v>134</v>
      </c>
      <c r="G14" s="71" t="n">
        <f aca="false">E14*$M$2</f>
        <v>45.1906756756757</v>
      </c>
      <c r="H14" s="28" t="n">
        <f aca="false">'APUS ARQUITECTURA'!J148</f>
        <v>35.8409626666667</v>
      </c>
      <c r="I14" s="1" t="n">
        <f aca="false">G14*H14</f>
        <v>1619.67731977333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4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4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4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4" t="n">
        <v>1.1</v>
      </c>
      <c r="F19" s="1" t="s">
        <v>204</v>
      </c>
      <c r="G19" s="71" t="n">
        <f aca="false">E19*$M$2</f>
        <v>122.21</v>
      </c>
      <c r="H19" s="28" t="n">
        <f aca="false">'APUS ARQUITECTURA'!J212</f>
        <v>62.663358</v>
      </c>
      <c r="I19" s="1" t="n">
        <f aca="false">G19*H19</f>
        <v>7658.08898118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4" t="n">
        <v>1</v>
      </c>
      <c r="F21" s="1" t="s">
        <v>134</v>
      </c>
      <c r="G21" s="71" t="n">
        <f aca="false">E21*$M$2</f>
        <v>111.1</v>
      </c>
      <c r="H21" s="28" t="n">
        <f aca="false">'APUS ARQUITECTURA'!J232</f>
        <v>40.18468579</v>
      </c>
      <c r="I21" s="1" t="n">
        <f aca="false">G21*H21</f>
        <v>4464.518591269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4" t="n">
        <v>1</v>
      </c>
      <c r="F22" s="1" t="s">
        <v>134</v>
      </c>
      <c r="G22" s="71" t="n">
        <f aca="false">E22*$M$2</f>
        <v>111.1</v>
      </c>
      <c r="H22" s="28" t="n">
        <f aca="false">'APUS ARQUITECTURA'!J252</f>
        <v>206.773372</v>
      </c>
      <c r="I22" s="1" t="n">
        <f aca="false">G22*H22</f>
        <v>22972.5216292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4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4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4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4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4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4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4" t="n">
        <f aca="false">((2*8+2*6.95)-(4.5))/62</f>
        <v>0.409677419354839</v>
      </c>
      <c r="F29" s="1" t="s">
        <v>145</v>
      </c>
      <c r="G29" s="71" t="n">
        <f aca="false">E29*$M$2</f>
        <v>45.5151612903226</v>
      </c>
      <c r="H29" s="28" t="n">
        <f aca="false">'APUS ARQUITECTURA'!J364</f>
        <v>26.68748</v>
      </c>
      <c r="I29" s="1" t="n">
        <f aca="false">G29*H29</f>
        <v>1214.68495663226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4" t="n">
        <f aca="false">(4.65+3.15+0.15+1.75+0.65+0.2+2.8+0.2+1.6+0.2+0.65+3.3)/37</f>
        <v>0.521621621621622</v>
      </c>
      <c r="F30" s="1" t="s">
        <v>145</v>
      </c>
      <c r="G30" s="71" t="n">
        <f aca="false">E30*$M$2</f>
        <v>57.9521621621622</v>
      </c>
      <c r="H30" s="28" t="n">
        <f aca="false">'APUS ARQUITECTURA'!J383</f>
        <v>36.537022</v>
      </c>
      <c r="I30" s="1" t="n">
        <f aca="false">G30*H30</f>
        <v>2117.39942386649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4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4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4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/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 t="n">
        <f aca="false">2.8/37</f>
        <v>0.0756756756756757</v>
      </c>
      <c r="F36" s="1" t="s">
        <v>134</v>
      </c>
      <c r="G36" s="71" t="n">
        <f aca="false">E36*$M$2</f>
        <v>8.40756756756757</v>
      </c>
      <c r="H36" s="28" t="n">
        <f aca="false">'APUS ARQUITECTURA'!J456</f>
        <v>367.870834240906</v>
      </c>
      <c r="I36" s="1" t="n">
        <f aca="false">G36*H36</f>
        <v>3092.89889501787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14.443</v>
      </c>
      <c r="H38" s="28" t="n">
        <f aca="false">'APUS ARQUITECTURA'!J470</f>
        <v>622.13</v>
      </c>
      <c r="I38" s="1" t="n">
        <f aca="false">G38*H38</f>
        <v>8985.42359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E13+E8+E18</f>
        <v>0.881081081081081</v>
      </c>
      <c r="F41" s="1" t="s">
        <v>134</v>
      </c>
      <c r="G41" s="71" t="n">
        <f aca="false">E41*$M$2</f>
        <v>97.8881081081081</v>
      </c>
      <c r="H41" s="28" t="n">
        <f aca="false">'APUS ARQUITECTURA'!J484</f>
        <v>15.625164</v>
      </c>
      <c r="I41" s="1" t="n">
        <f aca="false">G41*H41</f>
        <v>1529.51774283892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 t="n">
        <f aca="false">E14</f>
        <v>0.406756756756757</v>
      </c>
      <c r="F42" s="109" t="s">
        <v>134</v>
      </c>
      <c r="G42" s="71" t="n">
        <f aca="false">E42*$M$2</f>
        <v>45.1906756756757</v>
      </c>
      <c r="H42" s="28" t="n">
        <f aca="false">'APUS ARQUITECTURA'!J504</f>
        <v>15.9562854545455</v>
      </c>
      <c r="I42" s="1" t="n">
        <f aca="false">G42*H42</f>
        <v>721.075320964865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53"/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53"/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53"/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10.6656</v>
      </c>
      <c r="H52" s="28" t="n">
        <f aca="false">'APUS SANITARIAS'!J91</f>
        <v>158.148033208747</v>
      </c>
      <c r="I52" s="1" t="n">
        <f aca="false">G52*H52</f>
        <v>1686.74366299121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/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/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/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9/37</f>
        <v>0.243243243243243</v>
      </c>
      <c r="F59" s="1" t="s">
        <v>215</v>
      </c>
      <c r="G59" s="71" t="n">
        <f aca="false">E59*$M$2</f>
        <v>27.0243243243243</v>
      </c>
      <c r="H59" s="28" t="n">
        <f aca="false">'APUS ELECTRICAS'!J5</f>
        <v>121.043104</v>
      </c>
      <c r="I59" s="1" t="n">
        <f aca="false">G59*H59</f>
        <v>3271.10809971892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9/37</f>
        <v>0.243243243243243</v>
      </c>
      <c r="F60" s="1" t="s">
        <v>215</v>
      </c>
      <c r="G60" s="71" t="n">
        <f aca="false">E60*$M$2</f>
        <v>27.0243243243243</v>
      </c>
      <c r="H60" s="28" t="n">
        <f aca="false">'APUS ELECTRICAS'!J26</f>
        <v>163.73838</v>
      </c>
      <c r="I60" s="1" t="n">
        <f aca="false">G60*H60</f>
        <v>4424.91908545946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9/37</f>
        <v>0.243243243243243</v>
      </c>
      <c r="F61" s="1" t="s">
        <v>215</v>
      </c>
      <c r="G61" s="71" t="n">
        <f aca="false">E61*$M$2</f>
        <v>27.0243243243243</v>
      </c>
      <c r="H61" s="28" t="n">
        <f aca="false">'APUS ELECTRICAS'!J48</f>
        <v>118.3069</v>
      </c>
      <c r="I61" s="1" t="n">
        <f aca="false">G61*H61</f>
        <v>3197.16403540541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1/37</f>
        <v>0.027027027027027</v>
      </c>
      <c r="F64" s="1" t="s">
        <v>150</v>
      </c>
      <c r="G64" s="71" t="n">
        <f aca="false">E64*$M$2</f>
        <v>3.0027027027027</v>
      </c>
      <c r="H64" s="28" t="n">
        <f aca="false">'APUS ELECTRICAS'!J74</f>
        <v>396.145032</v>
      </c>
      <c r="I64" s="1" t="n">
        <f aca="false">G64*H64</f>
        <v>1189.50575824865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1/37</f>
        <v>0.027027027027027</v>
      </c>
      <c r="F65" s="1" t="s">
        <v>150</v>
      </c>
      <c r="G65" s="71" t="n">
        <f aca="false">E65*$M$2</f>
        <v>3.0027027027027</v>
      </c>
      <c r="H65" s="28" t="n">
        <f aca="false">'APUS ELECTRICAS'!J88</f>
        <v>105.9636</v>
      </c>
      <c r="I65" s="1" t="n">
        <f aca="false">G65*H65</f>
        <v>318.177188108108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1100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1101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1.44088737201365</v>
      </c>
      <c r="H72" s="152" t="n">
        <f aca="false">'APUS COMUNICACIONES'!J5</f>
        <v>279.8531</v>
      </c>
      <c r="I72" s="1" t="n">
        <f aca="false">G72*H72</f>
        <v>403.236797808874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0.758361774744027</v>
      </c>
      <c r="H73" s="152" t="n">
        <f aca="false">'APUS COMUNICACIONES'!J23</f>
        <v>95.8431</v>
      </c>
      <c r="I73" s="1" t="n">
        <f aca="false">G73*H73</f>
        <v>72.6837434129693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1.28921501706485</v>
      </c>
      <c r="H74" s="152" t="n">
        <f aca="false">'APUS COMUNICACIONES'!J41</f>
        <v>95.8431</v>
      </c>
      <c r="I74" s="1" t="n">
        <f aca="false">G74*H74</f>
        <v>123.562363802048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0.360980204778157</v>
      </c>
      <c r="H75" s="152" t="n">
        <f aca="false">'APUS COMUNICACIONES'!J59</f>
        <v>26.403334</v>
      </c>
      <c r="I75" s="1" t="n">
        <f aca="false">G75*H75</f>
        <v>9.53108091414607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7.53129078498294</v>
      </c>
      <c r="H76" s="152" t="n">
        <f aca="false">'APUS COMUNICACIONES'!J77</f>
        <v>25.004334</v>
      </c>
      <c r="I76" s="1" t="n">
        <f aca="false">G76*H76</f>
        <v>188.314910238836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30.4687010238908</v>
      </c>
      <c r="H77" s="152" t="n">
        <f aca="false">'APUS COMUNICACIONES'!J95</f>
        <v>19.232788</v>
      </c>
      <c r="I77" s="1" t="n">
        <f aca="false">G77*H77</f>
        <v>585.998067427874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0.17897337883959</v>
      </c>
      <c r="H78" s="152" t="n">
        <f aca="false">'APUS COMUNICACIONES'!J113</f>
        <v>16.371788</v>
      </c>
      <c r="I78" s="1" t="n">
        <f aca="false">G78*H78</f>
        <v>2.93011421600546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0.758361774744027</v>
      </c>
      <c r="H79" s="152" t="n">
        <f aca="false">'APUS COMUNICACIONES'!J131</f>
        <v>62.670152</v>
      </c>
      <c r="I79" s="1" t="n">
        <f aca="false">G79*H79</f>
        <v>47.526647694198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1.44088737201365</v>
      </c>
      <c r="H80" s="152" t="n">
        <f aca="false">'APUS COMUNICACIONES'!J146</f>
        <v>58.850152</v>
      </c>
      <c r="I80" s="1" t="n">
        <f aca="false">G80*H80</f>
        <v>84.796440857884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0.227508532423208</v>
      </c>
      <c r="H81" s="152" t="n">
        <f aca="false">'APUS COMUNICACIONES'!J161</f>
        <v>57.880152</v>
      </c>
      <c r="I81" s="1" t="n">
        <f aca="false">G81*H81</f>
        <v>13.1682284379522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1.40296928327645</v>
      </c>
      <c r="H82" s="152" t="n">
        <f aca="false">'APUS COMUNICACIONES'!J176</f>
        <v>99.34046</v>
      </c>
      <c r="I82" s="1" t="n">
        <f aca="false">G82*H82</f>
        <v>139.371613966553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1124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0.303344709897611</v>
      </c>
      <c r="H85" s="28" t="n">
        <f aca="false">'APUS COMUNICACIONES'!J422</f>
        <v>633.6988</v>
      </c>
      <c r="I85" s="1" t="n">
        <f aca="false">G85*H85</f>
        <v>192.229178648464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0.303344709897611</v>
      </c>
      <c r="H86" s="28" t="n">
        <f aca="false">'APUS COMUNICACIONES'!J440</f>
        <v>520.8388</v>
      </c>
      <c r="I86" s="1" t="n">
        <f aca="false">G86*H86</f>
        <v>157.99369468942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0.758361774744027</v>
      </c>
      <c r="H88" s="28" t="n">
        <f aca="false">'APUS COMUNICACIONES'!J469</f>
        <v>367.6688</v>
      </c>
      <c r="I88" s="1" t="n">
        <f aca="false">G88*H88</f>
        <v>278.825963686007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0.303344709897611</v>
      </c>
      <c r="H90" s="28" t="n">
        <f aca="false">'APUS COMUNICACIONES'!J497</f>
        <v>96.14409</v>
      </c>
      <c r="I90" s="1" t="n">
        <f aca="false">G90*H90</f>
        <v>29.1648010894198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0.303344709897611</v>
      </c>
      <c r="H91" s="28" t="n">
        <f aca="false">'APUS COMUNICACIONES'!J513</f>
        <v>64.33069</v>
      </c>
      <c r="I91" s="1" t="n">
        <f aca="false">G91*H91</f>
        <v>19.5143744955631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37" colorId="64" zoomScale="100" zoomScaleNormal="100" zoomScalePageLayoutView="100" workbookViewId="0">
      <selection pane="topLeft" activeCell="A44" activeCellId="0" sqref="A44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'!D27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(1.75+1.3+3.3+0.6)*3/6.5</f>
        <v>3.20769230769231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759</v>
      </c>
      <c r="E7" s="253" t="n">
        <v>0</v>
      </c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761</v>
      </c>
      <c r="E8" s="253" t="n">
        <f aca="false">2.8*3/6.5</f>
        <v>1.29230769230769</v>
      </c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f aca="false">(1.75+1.25+3.3+0.6)*3/6.5</f>
        <v>3.18461538461538</v>
      </c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1.3*3.3/6.5</f>
        <v>0.66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 t="n">
        <v>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 t="n">
        <v>1</v>
      </c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 t="n">
        <f aca="false">(1.75+1.25+3.3+0.6+4.7)*2/6.5</f>
        <v>3.56923076923077</v>
      </c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f aca="false">0.9*2.1/6.5</f>
        <v>0.290769230769231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/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E13+E8+E19</f>
        <v>5.47692307692308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 t="n">
        <f aca="false">E14</f>
        <v>0.66</v>
      </c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53"/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53"/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53"/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/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/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/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4/6.5</f>
        <v>0.615384615384615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4/6.5</f>
        <v>0.615384615384615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4/6.5</f>
        <v>0.615384615384615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1/6.5</f>
        <v>0.153846153846154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1/6.5</f>
        <v>0.153846153846154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1100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1101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1124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'!D28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((6.95+12.2+12.2)*3)*0.71/93</f>
        <v>0.718016129032258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759</v>
      </c>
      <c r="E7" s="253" t="n">
        <f aca="false">((6.95)*3)/93</f>
        <v>0.224193548387097</v>
      </c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761</v>
      </c>
      <c r="E8" s="253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68" t="n">
        <f aca="false">(((2*(12.2+6.95))*3)*0.71)/93</f>
        <v>0.877193548387097</v>
      </c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(((12.2*2*3.3)*0.71))/93</f>
        <v>0.614722580645161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68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68" t="n">
        <v>1</v>
      </c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68"/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68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68" t="n">
        <v>1</v>
      </c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68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68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68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68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68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 t="n">
        <f aca="false">(2*(12.2+6.95))/93</f>
        <v>0.411827956989247</v>
      </c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68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68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68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f aca="false">2*2.1/93</f>
        <v>0.0451612903225807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68" t="n">
        <v>0.25</v>
      </c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68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68" t="n">
        <f aca="false">((((2*(6.95+12.2))*3)-(93*0.29))+93)/93</f>
        <v>1.94548387096774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68" t="n">
        <f aca="false">((((12.2*2)+6.95)*3.3)-(93*0.29))/93</f>
        <v>0.82241935483871</v>
      </c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68" t="n">
        <f aca="false">2/93</f>
        <v>0.021505376344086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68" t="n">
        <f aca="false">2/93</f>
        <v>0.021505376344086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68" t="n">
        <f aca="false">2/93</f>
        <v>0.021505376344086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68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68" t="n">
        <f aca="false">5/92</f>
        <v>0.0543478260869565</v>
      </c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69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69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69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68" t="n">
        <f aca="false">6/92</f>
        <v>0.0652173913043478</v>
      </c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68" t="n">
        <f aca="false">6/92</f>
        <v>0.0652173913043478</v>
      </c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68" t="n">
        <f aca="false">6/92</f>
        <v>0.0652173913043478</v>
      </c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68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68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68" t="n">
        <f aca="false">20/92</f>
        <v>0.217391304347826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68" t="n">
        <f aca="false">20/92</f>
        <v>0.217391304347826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68" t="n">
        <f aca="false">20/92</f>
        <v>0.217391304347826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68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68" t="n">
        <f aca="false">(92/10)/92</f>
        <v>0.1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68" t="n">
        <f aca="false">(92/10)/92</f>
        <v>0.1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68" t="n">
        <f aca="false">1/92</f>
        <v>0.0108695652173913</v>
      </c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68" t="n">
        <f aca="false">2/92</f>
        <v>0.0217391304347826</v>
      </c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1100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1101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1124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'!D29</f>
        <v>90.88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102346.324020361</v>
      </c>
      <c r="L4" s="157" t="s">
        <v>1369</v>
      </c>
      <c r="M4" s="252" t="n">
        <f aca="false">J4/M2</f>
        <v>1126.16993860433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((6.95+12.2+12.2)*3)*0.71/93</f>
        <v>0.718016129032258</v>
      </c>
      <c r="F6" s="227" t="s">
        <v>134</v>
      </c>
      <c r="G6" s="71" t="n">
        <f aca="false">E6*$M$2</f>
        <v>65.2533058064516</v>
      </c>
      <c r="H6" s="28" t="n">
        <f aca="false">'APUS ARQUITECTURA'!J5</f>
        <v>135.824337926792</v>
      </c>
      <c r="I6" s="1" t="n">
        <f aca="false">G6*H6</f>
        <v>8862.98705869578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759</v>
      </c>
      <c r="E7" s="253" t="n">
        <f aca="false">((6.95)*3)/93</f>
        <v>0.224193548387097</v>
      </c>
      <c r="F7" s="227" t="s">
        <v>134</v>
      </c>
      <c r="G7" s="71" t="n">
        <f aca="false">E7*$M$2</f>
        <v>20.3747096774194</v>
      </c>
      <c r="H7" s="28" t="n">
        <f aca="false">'APUS ARQUITECTURA'!J32</f>
        <v>150.0657</v>
      </c>
      <c r="I7" s="1" t="n">
        <f aca="false">G7*H7</f>
        <v>3057.54507003871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761</v>
      </c>
      <c r="E8" s="253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68" t="n">
        <f aca="false">(((2*(12.2+6.95))*3)*0.71)/93</f>
        <v>0.877193548387097</v>
      </c>
      <c r="F13" s="1" t="s">
        <v>134</v>
      </c>
      <c r="G13" s="71" t="n">
        <f aca="false">E13*$M$2</f>
        <v>79.7193496774193</v>
      </c>
      <c r="H13" s="28" t="n">
        <f aca="false">'APUS ARQUITECTURA'!J127</f>
        <v>27.1229651333333</v>
      </c>
      <c r="I13" s="1" t="n">
        <f aca="false">G13*H13</f>
        <v>2162.22514175265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(((12.2*2*3.3)*0.71))/93</f>
        <v>0.614722580645161</v>
      </c>
      <c r="F14" s="1" t="s">
        <v>134</v>
      </c>
      <c r="G14" s="71" t="n">
        <f aca="false">E14*$M$2</f>
        <v>55.8659881290323</v>
      </c>
      <c r="H14" s="28" t="n">
        <f aca="false">'APUS ARQUITECTURA'!J148</f>
        <v>35.8409626666667</v>
      </c>
      <c r="I14" s="1" t="n">
        <f aca="false">G14*H14</f>
        <v>2002.29079486909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68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68" t="n">
        <v>1</v>
      </c>
      <c r="F18" s="1" t="s">
        <v>204</v>
      </c>
      <c r="G18" s="71" t="n">
        <f aca="false">E18*$M$2</f>
        <v>90.88</v>
      </c>
      <c r="H18" s="28" t="n">
        <f aca="false">'APUS ARQUITECTURA'!J188</f>
        <v>212.282155333333</v>
      </c>
      <c r="I18" s="1" t="n">
        <f aca="false">G18*H18</f>
        <v>19292.2022766933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68"/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68" t="n">
        <v>1</v>
      </c>
      <c r="F21" s="1" t="s">
        <v>134</v>
      </c>
      <c r="G21" s="71" t="n">
        <f aca="false">E21*$M$2</f>
        <v>90.88</v>
      </c>
      <c r="H21" s="28" t="n">
        <f aca="false">'APUS ARQUITECTURA'!J232</f>
        <v>40.18468579</v>
      </c>
      <c r="I21" s="1" t="n">
        <f aca="false">G21*H21</f>
        <v>3651.9842445952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68" t="n">
        <v>1</v>
      </c>
      <c r="F22" s="1" t="s">
        <v>134</v>
      </c>
      <c r="G22" s="71" t="n">
        <f aca="false">E22*$M$2</f>
        <v>90.88</v>
      </c>
      <c r="H22" s="28" t="n">
        <f aca="false">'APUS ARQUITECTURA'!J252</f>
        <v>206.773372</v>
      </c>
      <c r="I22" s="1" t="n">
        <f aca="false">G22*H22</f>
        <v>18791.56404736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68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68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68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68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68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37.2314838709677</v>
      </c>
      <c r="H29" s="28" t="n">
        <f aca="false">'APUS ARQUITECTURA'!J364</f>
        <v>26.68748</v>
      </c>
      <c r="I29" s="1" t="n">
        <f aca="false">G29*H29</f>
        <v>993.614481176774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 t="n">
        <f aca="false">(2*(12.2+6.95))/93</f>
        <v>0.411827956989247</v>
      </c>
      <c r="F30" s="1" t="s">
        <v>145</v>
      </c>
      <c r="G30" s="71" t="n">
        <f aca="false">E30*$M$2</f>
        <v>37.4269247311828</v>
      </c>
      <c r="H30" s="28" t="n">
        <f aca="false">'APUS ARQUITECTURA'!J383</f>
        <v>36.537022</v>
      </c>
      <c r="I30" s="1" t="n">
        <f aca="false">G30*H30</f>
        <v>1367.46837229557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68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68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68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f aca="false">2*2.1/93</f>
        <v>0.0451612903225807</v>
      </c>
      <c r="F35" s="1" t="s">
        <v>134</v>
      </c>
      <c r="G35" s="71" t="n">
        <f aca="false">E35*$M$2</f>
        <v>4.10425806451613</v>
      </c>
      <c r="H35" s="28" t="n">
        <f aca="false">'APUS ARQUITECTURA'!J449</f>
        <v>560.6226</v>
      </c>
      <c r="I35" s="1" t="n">
        <f aca="false">G35*H35</f>
        <v>2300.9398272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68" t="n">
        <v>0.25</v>
      </c>
      <c r="F36" s="1" t="s">
        <v>134</v>
      </c>
      <c r="G36" s="71" t="n">
        <f aca="false">E36*$M$2</f>
        <v>22.72</v>
      </c>
      <c r="H36" s="28" t="n">
        <f aca="false">'APUS ARQUITECTURA'!J456</f>
        <v>367.870834240906</v>
      </c>
      <c r="I36" s="1" t="n">
        <f aca="false">G36*H36</f>
        <v>8358.02535395339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11.8144</v>
      </c>
      <c r="H38" s="28" t="n">
        <f aca="false">'APUS ARQUITECTURA'!J470</f>
        <v>622.13</v>
      </c>
      <c r="I38" s="1" t="n">
        <f aca="false">G38*H38</f>
        <v>7350.092672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68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68" t="n">
        <f aca="false">((((2*(6.95+12.2))*3)-(93*0.29))+93)/93</f>
        <v>1.94548387096774</v>
      </c>
      <c r="F41" s="1" t="s">
        <v>134</v>
      </c>
      <c r="G41" s="71" t="n">
        <f aca="false">E41*$M$2</f>
        <v>176.805574193548</v>
      </c>
      <c r="H41" s="28" t="n">
        <f aca="false">'APUS ARQUITECTURA'!J484</f>
        <v>15.625164</v>
      </c>
      <c r="I41" s="1" t="n">
        <f aca="false">G41*H41</f>
        <v>2762.61609288836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68" t="n">
        <f aca="false">((((12.2*2)+6.95)*3.3)-(93*0.29))/93</f>
        <v>0.82241935483871</v>
      </c>
      <c r="F42" s="109" t="s">
        <v>134</v>
      </c>
      <c r="G42" s="71" t="n">
        <f aca="false">E42*$M$2</f>
        <v>74.7414709677419</v>
      </c>
      <c r="H42" s="28" t="n">
        <f aca="false">'APUS ARQUITECTURA'!J504</f>
        <v>15.9562854545455</v>
      </c>
      <c r="I42" s="1" t="n">
        <f aca="false">G42*H42</f>
        <v>1192.59624605391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68" t="n">
        <f aca="false">2/93</f>
        <v>0.021505376344086</v>
      </c>
      <c r="F44" s="1" t="s">
        <v>1389</v>
      </c>
      <c r="G44" s="71" t="n">
        <f aca="false">E44*$M$2</f>
        <v>1.95440860215054</v>
      </c>
      <c r="H44" s="28" t="n">
        <f aca="false">'APUS SANITARIAS'!J5</f>
        <v>193.333333333333</v>
      </c>
      <c r="I44" s="1" t="n">
        <f aca="false">G44*H44</f>
        <v>377.852329749104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68" t="n">
        <f aca="false">2/93</f>
        <v>0.021505376344086</v>
      </c>
      <c r="F45" s="1" t="s">
        <v>1389</v>
      </c>
      <c r="G45" s="71" t="n">
        <f aca="false">E45*$M$2</f>
        <v>1.95440860215054</v>
      </c>
      <c r="H45" s="28" t="n">
        <f aca="false">'APUS SANITARIAS'!J12</f>
        <v>192.42</v>
      </c>
      <c r="I45" s="1" t="n">
        <f aca="false">G45*H45</f>
        <v>376.067303225807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68" t="n">
        <f aca="false">2/93</f>
        <v>0.021505376344086</v>
      </c>
      <c r="F46" s="1" t="s">
        <v>1389</v>
      </c>
      <c r="G46" s="71" t="n">
        <f aca="false">E46*$M$2</f>
        <v>1.95440860215054</v>
      </c>
      <c r="H46" s="28" t="n">
        <f aca="false">'APUS SANITARIAS'!J19</f>
        <v>67.5216666666667</v>
      </c>
      <c r="I46" s="1" t="n">
        <f aca="false">G46*H46</f>
        <v>131.964926164875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68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68" t="n">
        <f aca="false">5/92</f>
        <v>0.0543478260869565</v>
      </c>
      <c r="F48" s="1" t="s">
        <v>215</v>
      </c>
      <c r="G48" s="71" t="n">
        <f aca="false">E48*$M$2</f>
        <v>4.93913043478261</v>
      </c>
      <c r="H48" s="28" t="n">
        <f aca="false">'APUS SANITARIAS'!J32</f>
        <v>131.737813333333</v>
      </c>
      <c r="I48" s="1" t="n">
        <f aca="false">G48*H48</f>
        <v>650.670243246377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69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69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69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8.72448</v>
      </c>
      <c r="H52" s="28" t="n">
        <f aca="false">'APUS SANITARIAS'!J91</f>
        <v>158.148033208747</v>
      </c>
      <c r="I52" s="1" t="n">
        <f aca="false">G52*H52</f>
        <v>1379.75935276905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68" t="n">
        <f aca="false">6/92</f>
        <v>0.0652173913043478</v>
      </c>
      <c r="F53" s="1" t="s">
        <v>215</v>
      </c>
      <c r="G53" s="71" t="n">
        <f aca="false">E53*$M$2</f>
        <v>5.92695652173913</v>
      </c>
      <c r="H53" s="28" t="n">
        <f aca="false">'APUS SANITARIAS'!J108</f>
        <v>138.64528</v>
      </c>
      <c r="I53" s="1" t="n">
        <f aca="false">G53*H53</f>
        <v>821.744546504348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68" t="n">
        <f aca="false">6/92</f>
        <v>0.0652173913043478</v>
      </c>
      <c r="F54" s="1" t="s">
        <v>215</v>
      </c>
      <c r="G54" s="71" t="n">
        <f aca="false">E54*$M$2</f>
        <v>5.92695652173913</v>
      </c>
      <c r="H54" s="28" t="n">
        <f aca="false">'APUS SANITARIAS'!J127</f>
        <v>145.93578</v>
      </c>
      <c r="I54" s="1" t="n">
        <f aca="false">G54*H54</f>
        <v>864.955023026087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68" t="n">
        <f aca="false">6/92</f>
        <v>0.0652173913043478</v>
      </c>
      <c r="F55" s="1" t="s">
        <v>215</v>
      </c>
      <c r="G55" s="71" t="n">
        <f aca="false">E55*$M$2</f>
        <v>5.92695652173913</v>
      </c>
      <c r="H55" s="28" t="n">
        <f aca="false">'APUS SANITARIAS'!J145</f>
        <v>141.07118</v>
      </c>
      <c r="I55" s="1" t="n">
        <f aca="false">G55*H55</f>
        <v>836.122750330435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68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68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68" t="n">
        <f aca="false">20/92</f>
        <v>0.217391304347826</v>
      </c>
      <c r="F59" s="1" t="s">
        <v>215</v>
      </c>
      <c r="G59" s="71" t="n">
        <f aca="false">E59*$M$2</f>
        <v>19.7565217391304</v>
      </c>
      <c r="H59" s="28" t="n">
        <f aca="false">'APUS ELECTRICAS'!J5</f>
        <v>121.043104</v>
      </c>
      <c r="I59" s="1" t="n">
        <f aca="false">G59*H59</f>
        <v>2391.39071554783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68" t="n">
        <f aca="false">20/92</f>
        <v>0.217391304347826</v>
      </c>
      <c r="F60" s="1" t="s">
        <v>215</v>
      </c>
      <c r="G60" s="71" t="n">
        <f aca="false">E60*$M$2</f>
        <v>19.7565217391304</v>
      </c>
      <c r="H60" s="28" t="n">
        <f aca="false">'APUS ELECTRICAS'!J26</f>
        <v>163.73838</v>
      </c>
      <c r="I60" s="1" t="n">
        <f aca="false">G60*H60</f>
        <v>3234.900864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68" t="n">
        <f aca="false">20/92</f>
        <v>0.217391304347826</v>
      </c>
      <c r="F61" s="1" t="s">
        <v>215</v>
      </c>
      <c r="G61" s="71" t="n">
        <f aca="false">E61*$M$2</f>
        <v>19.7565217391304</v>
      </c>
      <c r="H61" s="28" t="n">
        <f aca="false">'APUS ELECTRICAS'!J48</f>
        <v>118.3069</v>
      </c>
      <c r="I61" s="1" t="n">
        <f aca="false">G61*H61</f>
        <v>2337.33284173913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68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68" t="n">
        <f aca="false">(92/10)/92</f>
        <v>0.1</v>
      </c>
      <c r="F64" s="1" t="s">
        <v>150</v>
      </c>
      <c r="G64" s="71" t="n">
        <f aca="false">E64*$M$2</f>
        <v>9.088</v>
      </c>
      <c r="H64" s="28" t="n">
        <f aca="false">'APUS ELECTRICAS'!J74</f>
        <v>396.145032</v>
      </c>
      <c r="I64" s="1" t="n">
        <f aca="false">G64*H64</f>
        <v>3600.166050816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68" t="n">
        <f aca="false">(92/10)/92</f>
        <v>0.1</v>
      </c>
      <c r="F65" s="1" t="s">
        <v>150</v>
      </c>
      <c r="G65" s="71" t="n">
        <f aca="false">E65*$M$2</f>
        <v>9.088</v>
      </c>
      <c r="H65" s="28" t="n">
        <f aca="false">'APUS ELECTRICAS'!J88</f>
        <v>105.9636</v>
      </c>
      <c r="I65" s="1" t="n">
        <f aca="false">G65*H65</f>
        <v>962.9971968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68" t="n">
        <f aca="false">1/92</f>
        <v>0.0108695652173913</v>
      </c>
      <c r="F66" s="1" t="s">
        <v>150</v>
      </c>
      <c r="G66" s="71" t="n">
        <f aca="false">E66*$M$2</f>
        <v>0.987826086956522</v>
      </c>
      <c r="H66" s="28" t="n">
        <f aca="false">'APUS ELECTRICAS'!J106</f>
        <v>143.11</v>
      </c>
      <c r="I66" s="1" t="n">
        <f aca="false">G66*H66</f>
        <v>141.367791304348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68" t="n">
        <f aca="false">2/92</f>
        <v>0.0217391304347826</v>
      </c>
      <c r="F67" s="1" t="s">
        <v>150</v>
      </c>
      <c r="G67" s="71" t="n">
        <f aca="false">E67*$M$2</f>
        <v>1.97565217391304</v>
      </c>
      <c r="H67" s="28" t="n">
        <f aca="false">'APUS ELECTRICAS'!J114</f>
        <v>86.81614</v>
      </c>
      <c r="I67" s="1" t="n">
        <f aca="false">G67*H67</f>
        <v>171.518495721739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1100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1101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1.17864846416382</v>
      </c>
      <c r="H72" s="152" t="n">
        <f aca="false">'APUS COMUNICACIONES'!J5</f>
        <v>279.8531</v>
      </c>
      <c r="I72" s="1" t="n">
        <f aca="false">G72*H72</f>
        <v>329.848426506485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0.620341296928328</v>
      </c>
      <c r="H73" s="152" t="n">
        <f aca="false">'APUS COMUNICACIONES'!J23</f>
        <v>95.8431</v>
      </c>
      <c r="I73" s="1" t="n">
        <f aca="false">G73*H73</f>
        <v>59.4554329556314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1.05458020477816</v>
      </c>
      <c r="H74" s="152" t="n">
        <f aca="false">'APUS COMUNICACIONES'!J41</f>
        <v>95.8431</v>
      </c>
      <c r="I74" s="1" t="n">
        <f aca="false">G74*H74</f>
        <v>101.074236024573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0.295282457337884</v>
      </c>
      <c r="H75" s="152" t="n">
        <f aca="false">'APUS COMUNICACIONES'!J59</f>
        <v>26.403334</v>
      </c>
      <c r="I75" s="1" t="n">
        <f aca="false">G75*H75</f>
        <v>7.7964413454329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6.16060941979522</v>
      </c>
      <c r="H76" s="152" t="n">
        <f aca="false">'APUS COMUNICACIONES'!J77</f>
        <v>25.004334</v>
      </c>
      <c r="I76" s="1" t="n">
        <f aca="false">G76*H76</f>
        <v>154.041935576106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24.9234522866894</v>
      </c>
      <c r="H77" s="152" t="n">
        <f aca="false">'APUS COMUNICACIONES'!J95</f>
        <v>19.232788</v>
      </c>
      <c r="I77" s="1" t="n">
        <f aca="false">G77*H77</f>
        <v>479.347474058013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0.146400546075085</v>
      </c>
      <c r="H78" s="152" t="n">
        <f aca="false">'APUS COMUNICACIONES'!J113</f>
        <v>16.371788</v>
      </c>
      <c r="I78" s="1" t="n">
        <f aca="false">G78*H78</f>
        <v>2.39683870342553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0.620341296928328</v>
      </c>
      <c r="H79" s="152" t="n">
        <f aca="false">'APUS COMUNICACIONES'!J131</f>
        <v>62.670152</v>
      </c>
      <c r="I79" s="1" t="n">
        <f aca="false">G79*H79</f>
        <v>38.8768833703754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1.17864846416382</v>
      </c>
      <c r="H80" s="152" t="n">
        <f aca="false">'APUS COMUNICACIONES'!J146</f>
        <v>58.850152</v>
      </c>
      <c r="I80" s="1" t="n">
        <f aca="false">G80*H80</f>
        <v>69.3636412706075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0.186102389078498</v>
      </c>
      <c r="H81" s="152" t="n">
        <f aca="false">'APUS COMUNICACIONES'!J161</f>
        <v>57.880152</v>
      </c>
      <c r="I81" s="1" t="n">
        <f aca="false">G81*H81</f>
        <v>10.7716345674266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1.14763139931741</v>
      </c>
      <c r="H82" s="152" t="n">
        <f aca="false">'APUS COMUNICACIONES'!J176</f>
        <v>99.34046</v>
      </c>
      <c r="I82" s="1" t="n">
        <f aca="false">G82*H82</f>
        <v>114.006231118635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1124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0.248136518771331</v>
      </c>
      <c r="H85" s="28" t="n">
        <f aca="false">'APUS COMUNICACIONES'!J422</f>
        <v>633.6988</v>
      </c>
      <c r="I85" s="1" t="n">
        <f aca="false">G85*H85</f>
        <v>157.24381418157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0.248136518771331</v>
      </c>
      <c r="H86" s="28" t="n">
        <f aca="false">'APUS COMUNICACIONES'!J440</f>
        <v>520.8388</v>
      </c>
      <c r="I86" s="1" t="n">
        <f aca="false">G86*H86</f>
        <v>129.239126673038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0.620341296928328</v>
      </c>
      <c r="H88" s="28" t="n">
        <f aca="false">'APUS COMUNICACIONES'!J469</f>
        <v>367.6688</v>
      </c>
      <c r="I88" s="1" t="n">
        <f aca="false">G88*H88</f>
        <v>228.080140232082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0.248136518771331</v>
      </c>
      <c r="H90" s="28" t="n">
        <f aca="false">'APUS COMUNICACIONES'!J497</f>
        <v>96.14409</v>
      </c>
      <c r="I90" s="1" t="n">
        <f aca="false">G90*H90</f>
        <v>23.8568597930375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0.248136518771331</v>
      </c>
      <c r="H91" s="28" t="n">
        <f aca="false">'APUS COMUNICACIONES'!J513</f>
        <v>64.33069</v>
      </c>
      <c r="I91" s="1" t="n">
        <f aca="false">G91*H91</f>
        <v>15.9627934667577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'!D30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2*3/6</f>
        <v>1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759</v>
      </c>
      <c r="E7" s="253"/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761</v>
      </c>
      <c r="E8" s="253" t="n">
        <f aca="false">((2*3*3)+(2*3)-(0.75*2.1))/6</f>
        <v>3.7375</v>
      </c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f aca="false">(2*3)/6</f>
        <v>1</v>
      </c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(2*3.3)/6</f>
        <v>1.1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 t="n">
        <v>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 t="n">
        <v>1</v>
      </c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 t="n">
        <f aca="false">((2*3)+(2*2)-(0.75))/6</f>
        <v>1.54166666666667</v>
      </c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f aca="false">1/6</f>
        <v>0.166666666666667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/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E13+E8+E19</f>
        <v>5.7375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 t="n">
        <f aca="false">E14</f>
        <v>1.1</v>
      </c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53"/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53"/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53"/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/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/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/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4/6</f>
        <v>0.666666666666667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4/6</f>
        <v>0.666666666666667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4/6</f>
        <v>0.666666666666667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1/6</f>
        <v>0.166666666666667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1/6</f>
        <v>0.166666666666667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1100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1101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1124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7" activeCellId="0" sqref="M57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'!D31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((6.65*3)-(4*1.2*1.2))/20</f>
        <v>0.7095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759</v>
      </c>
      <c r="E7" s="253"/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761</v>
      </c>
      <c r="E8" s="253" t="n">
        <f aca="false">(2*(3/2)*3)/20</f>
        <v>0.45</v>
      </c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f aca="false">(6.65*3)/20</f>
        <v>0.9975</v>
      </c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((6.65*3.3)-(4*1.2*1.2))/20</f>
        <v>0.80925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 t="n">
        <v>1.1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 t="n">
        <v>1</v>
      </c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 t="n">
        <f aca="false">((2*3)+6.66)/20</f>
        <v>0.633</v>
      </c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v>0.14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 t="n">
        <f aca="false">(4*1.2*1.2)/20</f>
        <v>0.288</v>
      </c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E13+E8+E18</f>
        <v>1.4475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 t="n">
        <f aca="false">E14</f>
        <v>0.80925</v>
      </c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53"/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53"/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53"/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/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/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/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13/20</f>
        <v>0.65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13/20</f>
        <v>0.65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13/20</f>
        <v>0.65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2/20</f>
        <v>0.1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2/20</f>
        <v>0.1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1100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1101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1124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88" activeCellId="0" sqref="S88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'!D32</f>
        <v>20.04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35384.2260216377</v>
      </c>
      <c r="L4" s="157" t="s">
        <v>1369</v>
      </c>
      <c r="M4" s="252" t="n">
        <f aca="false">J4/M2</f>
        <v>1765.67994119949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(2.8+2.2+1.45+0.25)*3/12.3</f>
        <v>1.63414634146341</v>
      </c>
      <c r="F6" s="227" t="s">
        <v>134</v>
      </c>
      <c r="G6" s="71" t="n">
        <f aca="false">E6*$M$2</f>
        <v>32.7482926829268</v>
      </c>
      <c r="H6" s="28" t="n">
        <f aca="false">'APUS ARQUITECTURA'!J5</f>
        <v>135.824337926792</v>
      </c>
      <c r="I6" s="1" t="n">
        <f aca="false">G6*H6</f>
        <v>4448.01517189134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759</v>
      </c>
      <c r="E7" s="253" t="n">
        <f aca="false">2.6*3/12.3</f>
        <v>0.634146341463415</v>
      </c>
      <c r="F7" s="227" t="s">
        <v>134</v>
      </c>
      <c r="G7" s="71" t="n">
        <f aca="false">E7*$M$2</f>
        <v>12.7082926829268</v>
      </c>
      <c r="H7" s="28" t="n">
        <f aca="false">'APUS ARQUITECTURA'!J32</f>
        <v>150.0657</v>
      </c>
      <c r="I7" s="1" t="n">
        <f aca="false">G7*H7</f>
        <v>1907.07883726829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761</v>
      </c>
      <c r="E8" s="253" t="n">
        <v>0</v>
      </c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f aca="false">E6+E7</f>
        <v>2.26829268292683</v>
      </c>
      <c r="F13" s="1" t="s">
        <v>134</v>
      </c>
      <c r="G13" s="71" t="n">
        <f aca="false">E13*$M$2</f>
        <v>45.4565853658537</v>
      </c>
      <c r="H13" s="28" t="n">
        <f aca="false">'APUS ARQUITECTURA'!J127</f>
        <v>27.1229651333333</v>
      </c>
      <c r="I13" s="1" t="n">
        <f aca="false">G13*H13</f>
        <v>1232.91737995844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(2.6+2.8)*3.3/12.3</f>
        <v>1.44878048780488</v>
      </c>
      <c r="F14" s="1" t="s">
        <v>134</v>
      </c>
      <c r="G14" s="71" t="n">
        <f aca="false">E14*$M$2</f>
        <v>29.0335609756098</v>
      </c>
      <c r="H14" s="28" t="n">
        <f aca="false">'APUS ARQUITECTURA'!J148</f>
        <v>35.8409626666667</v>
      </c>
      <c r="I14" s="1" t="n">
        <f aca="false">G14*H14</f>
        <v>1040.59077500722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 t="n">
        <f aca="false">E13</f>
        <v>2.26829268292683</v>
      </c>
      <c r="F16" s="1" t="s">
        <v>134</v>
      </c>
      <c r="G16" s="71" t="n">
        <f aca="false">E16*$M$2</f>
        <v>45.4565853658537</v>
      </c>
      <c r="H16" s="28" t="n">
        <f aca="false">'APUS ARQUITECTURA'!J168</f>
        <v>90.82588</v>
      </c>
      <c r="I16" s="1" t="n">
        <f aca="false">G16*H16</f>
        <v>4128.63436764878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 t="n">
        <v>1</v>
      </c>
      <c r="F18" s="1" t="s">
        <v>204</v>
      </c>
      <c r="G18" s="71" t="n">
        <f aca="false">E18*$M$2</f>
        <v>20.04</v>
      </c>
      <c r="H18" s="28" t="n">
        <f aca="false">'APUS ARQUITECTURA'!J188</f>
        <v>212.282155333333</v>
      </c>
      <c r="I18" s="1" t="n">
        <f aca="false">G18*H18</f>
        <v>4254.13439288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/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v>1</v>
      </c>
      <c r="F21" s="1" t="s">
        <v>134</v>
      </c>
      <c r="G21" s="71" t="n">
        <f aca="false">E21*$M$2</f>
        <v>20.04</v>
      </c>
      <c r="H21" s="28" t="n">
        <f aca="false">'APUS ARQUITECTURA'!J232</f>
        <v>40.18468579</v>
      </c>
      <c r="I21" s="1" t="n">
        <f aca="false">G21*H21</f>
        <v>805.3011032316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 t="n">
        <v>1</v>
      </c>
      <c r="F23" s="1" t="s">
        <v>134</v>
      </c>
      <c r="G23" s="71" t="n">
        <f aca="false">E23*$M$2</f>
        <v>20.04</v>
      </c>
      <c r="H23" s="28" t="n">
        <f aca="false">'APUS ARQUITECTURA'!J272</f>
        <v>102.656028</v>
      </c>
      <c r="I23" s="1" t="n">
        <f aca="false">G23*H23</f>
        <v>2057.22680112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8.20993548387097</v>
      </c>
      <c r="H29" s="28" t="n">
        <f aca="false">'APUS ARQUITECTURA'!J364</f>
        <v>26.68748</v>
      </c>
      <c r="I29" s="1" t="n">
        <f aca="false">G29*H29</f>
        <v>219.102489027097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 t="n">
        <f aca="false">(2.6+4.4+1.45+0.25)*0.1/12.3</f>
        <v>0.0707317073170732</v>
      </c>
      <c r="F32" s="1" t="s">
        <v>145</v>
      </c>
      <c r="G32" s="71" t="n">
        <f aca="false">E32*$M$2</f>
        <v>1.41746341463415</v>
      </c>
      <c r="H32" s="28" t="n">
        <f aca="false">'APUS ARQUITECTURA'!J410</f>
        <v>44.1927466666667</v>
      </c>
      <c r="I32" s="1" t="n">
        <f aca="false">G32*H32</f>
        <v>62.6416015921951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f aca="false">0.9*2.1/12.3</f>
        <v>0.153658536585366</v>
      </c>
      <c r="F35" s="1" t="s">
        <v>134</v>
      </c>
      <c r="G35" s="71" t="n">
        <f aca="false">E35*$M$2</f>
        <v>3.07931707317073</v>
      </c>
      <c r="H35" s="28" t="n">
        <f aca="false">'APUS ARQUITECTURA'!J449</f>
        <v>560.6226</v>
      </c>
      <c r="I35" s="1" t="n">
        <f aca="false">G35*H35</f>
        <v>1726.33474378537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 t="n">
        <v>0</v>
      </c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2.6052</v>
      </c>
      <c r="H38" s="28" t="n">
        <f aca="false">'APUS ARQUITECTURA'!J470</f>
        <v>622.13</v>
      </c>
      <c r="I38" s="1" t="n">
        <f aca="false">G38*H38</f>
        <v>1620.773076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E16+(1.7*3/12.3)</f>
        <v>2.68292682926829</v>
      </c>
      <c r="F41" s="1" t="s">
        <v>134</v>
      </c>
      <c r="G41" s="71" t="n">
        <f aca="false">E41*$M$2</f>
        <v>53.7658536585366</v>
      </c>
      <c r="H41" s="28" t="n">
        <f aca="false">'APUS ARQUITECTURA'!J484</f>
        <v>15.625164</v>
      </c>
      <c r="I41" s="1" t="n">
        <f aca="false">G41*H41</f>
        <v>840.100281014634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 t="n">
        <f aca="false">E14</f>
        <v>1.44878048780488</v>
      </c>
      <c r="F42" s="109" t="s">
        <v>134</v>
      </c>
      <c r="G42" s="71" t="n">
        <f aca="false">E42*$M$2</f>
        <v>29.0335609756098</v>
      </c>
      <c r="H42" s="28" t="n">
        <f aca="false">'APUS ARQUITECTURA'!J504</f>
        <v>15.9562854545455</v>
      </c>
      <c r="I42" s="1" t="n">
        <f aca="false">G42*H42</f>
        <v>463.26778668878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53" t="n">
        <f aca="false">1/12.3</f>
        <v>0.0813008130081301</v>
      </c>
      <c r="F44" s="1" t="s">
        <v>1389</v>
      </c>
      <c r="G44" s="71" t="n">
        <f aca="false">E44*$M$2</f>
        <v>1.62926829268293</v>
      </c>
      <c r="H44" s="28" t="n">
        <f aca="false">'APUS SANITARIAS'!J5</f>
        <v>193.333333333333</v>
      </c>
      <c r="I44" s="1" t="n">
        <f aca="false">G44*H44</f>
        <v>314.991869918699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53" t="n">
        <f aca="false">1/12.3</f>
        <v>0.0813008130081301</v>
      </c>
      <c r="F45" s="1" t="s">
        <v>1389</v>
      </c>
      <c r="G45" s="71" t="n">
        <f aca="false">E45*$M$2</f>
        <v>1.62926829268293</v>
      </c>
      <c r="H45" s="28" t="n">
        <f aca="false">'APUS SANITARIAS'!J12</f>
        <v>192.42</v>
      </c>
      <c r="I45" s="1" t="n">
        <f aca="false">G45*H45</f>
        <v>313.503804878049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53" t="n">
        <f aca="false">1/12.3</f>
        <v>0.0813008130081301</v>
      </c>
      <c r="F46" s="1" t="s">
        <v>1389</v>
      </c>
      <c r="G46" s="71" t="n">
        <f aca="false">E46*$M$2</f>
        <v>1.62926829268293</v>
      </c>
      <c r="H46" s="28" t="n">
        <f aca="false">'APUS SANITARIAS'!J19</f>
        <v>67.5216666666667</v>
      </c>
      <c r="I46" s="1" t="n">
        <f aca="false">G46*H46</f>
        <v>110.010910569106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 t="n">
        <f aca="false">1/12.3</f>
        <v>0.0813008130081301</v>
      </c>
      <c r="F48" s="1" t="s">
        <v>215</v>
      </c>
      <c r="G48" s="71" t="n">
        <f aca="false">E48*$M$2</f>
        <v>1.62926829268293</v>
      </c>
      <c r="H48" s="28" t="n">
        <f aca="false">'APUS SANITARIAS'!J32</f>
        <v>131.737813333333</v>
      </c>
      <c r="I48" s="1" t="n">
        <f aca="false">G48*H48</f>
        <v>214.636242211382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1.92384</v>
      </c>
      <c r="H52" s="28" t="n">
        <f aca="false">'APUS SANITARIAS'!J91</f>
        <v>158.148033208747</v>
      </c>
      <c r="I52" s="1" t="n">
        <f aca="false">G52*H52</f>
        <v>304.251512208315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 t="n">
        <f aca="false">1/12.3</f>
        <v>0.0813008130081301</v>
      </c>
      <c r="F53" s="1" t="s">
        <v>215</v>
      </c>
      <c r="G53" s="71" t="n">
        <f aca="false">E53*$M$2</f>
        <v>1.62926829268293</v>
      </c>
      <c r="H53" s="28" t="n">
        <f aca="false">'APUS SANITARIAS'!J108</f>
        <v>138.64528</v>
      </c>
      <c r="I53" s="1" t="n">
        <f aca="false">G53*H53</f>
        <v>225.890358634146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 t="n">
        <f aca="false">1/12.3</f>
        <v>0.0813008130081301</v>
      </c>
      <c r="F54" s="1" t="s">
        <v>215</v>
      </c>
      <c r="G54" s="71" t="n">
        <f aca="false">E54*$M$2</f>
        <v>1.62926829268293</v>
      </c>
      <c r="H54" s="28" t="n">
        <f aca="false">'APUS SANITARIAS'!J127</f>
        <v>145.93578</v>
      </c>
      <c r="I54" s="1" t="n">
        <f aca="false">G54*H54</f>
        <v>237.768539121951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 t="n">
        <f aca="false">1/12.3</f>
        <v>0.0813008130081301</v>
      </c>
      <c r="F55" s="1" t="s">
        <v>215</v>
      </c>
      <c r="G55" s="71" t="n">
        <f aca="false">E55*$M$2</f>
        <v>1.62926829268293</v>
      </c>
      <c r="H55" s="28" t="n">
        <f aca="false">'APUS SANITARIAS'!J145</f>
        <v>141.07118</v>
      </c>
      <c r="I55" s="1" t="n">
        <f aca="false">G55*H55</f>
        <v>229.842800585366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10/12.3</f>
        <v>0.813008130081301</v>
      </c>
      <c r="F59" s="1" t="s">
        <v>215</v>
      </c>
      <c r="G59" s="71" t="n">
        <f aca="false">E59*$M$2</f>
        <v>16.2926829268293</v>
      </c>
      <c r="H59" s="28" t="n">
        <f aca="false">'APUS ELECTRICAS'!J5</f>
        <v>121.043104</v>
      </c>
      <c r="I59" s="1" t="n">
        <f aca="false">G59*H59</f>
        <v>1972.11691395122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10/12.3</f>
        <v>0.813008130081301</v>
      </c>
      <c r="F60" s="1" t="s">
        <v>215</v>
      </c>
      <c r="G60" s="71" t="n">
        <f aca="false">E60*$M$2</f>
        <v>16.2926829268293</v>
      </c>
      <c r="H60" s="28" t="n">
        <f aca="false">'APUS ELECTRICAS'!J26</f>
        <v>163.73838</v>
      </c>
      <c r="I60" s="1" t="n">
        <f aca="false">G60*H60</f>
        <v>2667.73750829268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10/12.3</f>
        <v>0.813008130081301</v>
      </c>
      <c r="F61" s="1" t="s">
        <v>215</v>
      </c>
      <c r="G61" s="71" t="n">
        <f aca="false">E61*$M$2</f>
        <v>16.2926829268293</v>
      </c>
      <c r="H61" s="28" t="n">
        <f aca="false">'APUS ELECTRICAS'!J48</f>
        <v>118.3069</v>
      </c>
      <c r="I61" s="1" t="n">
        <f aca="false">G61*H61</f>
        <v>1927.5368097561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2/12.3</f>
        <v>0.16260162601626</v>
      </c>
      <c r="F64" s="1" t="s">
        <v>150</v>
      </c>
      <c r="G64" s="71" t="n">
        <f aca="false">E64*$M$2</f>
        <v>3.25853658536585</v>
      </c>
      <c r="H64" s="28" t="n">
        <f aca="false">'APUS ELECTRICAS'!J74</f>
        <v>396.145032</v>
      </c>
      <c r="I64" s="1" t="n">
        <f aca="false">G64*H64</f>
        <v>1290.85307988293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2/12.3</f>
        <v>0.16260162601626</v>
      </c>
      <c r="F65" s="1" t="s">
        <v>150</v>
      </c>
      <c r="G65" s="71" t="n">
        <f aca="false">E65*$M$2</f>
        <v>3.25853658536585</v>
      </c>
      <c r="H65" s="28" t="n">
        <f aca="false">'APUS ELECTRICAS'!J88</f>
        <v>105.9636</v>
      </c>
      <c r="I65" s="1" t="n">
        <f aca="false">G65*H65</f>
        <v>345.286267317073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1100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1101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0.259904436860068</v>
      </c>
      <c r="H72" s="152" t="n">
        <f aca="false">'APUS COMUNICACIONES'!J5</f>
        <v>279.8531</v>
      </c>
      <c r="I72" s="1" t="n">
        <f aca="false">G72*H72</f>
        <v>72.7350623590444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0.13679180887372</v>
      </c>
      <c r="H73" s="152" t="n">
        <f aca="false">'APUS COMUNICACIONES'!J23</f>
        <v>95.8431</v>
      </c>
      <c r="I73" s="1" t="n">
        <f aca="false">G73*H73</f>
        <v>13.1105510170648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0.232546075085324</v>
      </c>
      <c r="H74" s="152" t="n">
        <f aca="false">'APUS COMUNICACIONES'!J41</f>
        <v>95.8431</v>
      </c>
      <c r="I74" s="1" t="n">
        <f aca="false">G74*H74</f>
        <v>22.2879367290102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0.0651129010238908</v>
      </c>
      <c r="H75" s="152" t="n">
        <f aca="false">'APUS COMUNICACIONES'!J59</f>
        <v>26.403334</v>
      </c>
      <c r="I75" s="1" t="n">
        <f aca="false">G75*H75</f>
        <v>1.71919767344273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1.35847945392491</v>
      </c>
      <c r="H76" s="152" t="n">
        <f aca="false">'APUS COMUNICACIONES'!J77</f>
        <v>25.004334</v>
      </c>
      <c r="I76" s="1" t="n">
        <f aca="false">G76*H76</f>
        <v>33.9678739980762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5.49588450511945</v>
      </c>
      <c r="H77" s="152" t="n">
        <f aca="false">'APUS COMUNICACIONES'!J95</f>
        <v>19.232788</v>
      </c>
      <c r="I77" s="1" t="n">
        <f aca="false">G77*H77</f>
        <v>105.701181559447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0.0322828668941979</v>
      </c>
      <c r="H78" s="152" t="n">
        <f aca="false">'APUS COMUNICACIONES'!J113</f>
        <v>16.371788</v>
      </c>
      <c r="I78" s="1" t="n">
        <f aca="false">G78*H78</f>
        <v>0.528528252824027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0.13679180887372</v>
      </c>
      <c r="H79" s="152" t="n">
        <f aca="false">'APUS COMUNICACIONES'!J131</f>
        <v>62.670152</v>
      </c>
      <c r="I79" s="1" t="n">
        <f aca="false">G79*H79</f>
        <v>8.57276345447099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0.259904436860068</v>
      </c>
      <c r="H80" s="152" t="n">
        <f aca="false">'APUS COMUNICACIONES'!J146</f>
        <v>58.850152</v>
      </c>
      <c r="I80" s="1" t="n">
        <f aca="false">G80*H80</f>
        <v>15.2954156146894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0.041037542662116</v>
      </c>
      <c r="H81" s="152" t="n">
        <f aca="false">'APUS COMUNICACIONES'!J161</f>
        <v>57.880152</v>
      </c>
      <c r="I81" s="1" t="n">
        <f aca="false">G81*H81</f>
        <v>2.37525920698976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0.253064846416382</v>
      </c>
      <c r="H82" s="152" t="n">
        <f aca="false">'APUS COMUNICACIONES'!J176</f>
        <v>99.34046</v>
      </c>
      <c r="I82" s="1" t="n">
        <f aca="false">G82*H82</f>
        <v>25.1395782528328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1124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0.0547167235494881</v>
      </c>
      <c r="H85" s="28" t="n">
        <f aca="false">'APUS COMUNICACIONES'!J422</f>
        <v>633.6988</v>
      </c>
      <c r="I85" s="1" t="n">
        <f aca="false">G85*H85</f>
        <v>34.6739220532423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0.0547167235494881</v>
      </c>
      <c r="H86" s="28" t="n">
        <f aca="false">'APUS COMUNICACIONES'!J440</f>
        <v>520.8388</v>
      </c>
      <c r="I86" s="1" t="n">
        <f aca="false">G86*H86</f>
        <v>28.4985926334471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0.13679180887372</v>
      </c>
      <c r="H88" s="28" t="n">
        <f aca="false">'APUS COMUNICACIONES'!J469</f>
        <v>367.6688</v>
      </c>
      <c r="I88" s="1" t="n">
        <f aca="false">G88*H88</f>
        <v>50.29408021843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0.0547167235494881</v>
      </c>
      <c r="H90" s="28" t="n">
        <f aca="false">'APUS COMUNICACIONES'!J497</f>
        <v>96.14409</v>
      </c>
      <c r="I90" s="1" t="n">
        <f aca="false">G90*H90</f>
        <v>5.2606895934471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0.0547167235494881</v>
      </c>
      <c r="H91" s="28" t="n">
        <f aca="false">'APUS COMUNICACIONES'!J513</f>
        <v>64.33069</v>
      </c>
      <c r="I91" s="1" t="n">
        <f aca="false">G91*H91</f>
        <v>3.51996458047782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6" activeCellId="0" sqref="H6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'!D33</f>
        <v>25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23193.9021570068</v>
      </c>
      <c r="L4" s="157" t="s">
        <v>1369</v>
      </c>
      <c r="M4" s="252" t="n">
        <f aca="false">J4/M2</f>
        <v>927.756086280271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((((2.8*4)+(6.95))*3)-(0.2*60.3)-(1*2.1))/60.3</f>
        <v>0.668159203980099</v>
      </c>
      <c r="F6" s="227" t="s">
        <v>134</v>
      </c>
      <c r="G6" s="71" t="n">
        <f aca="false">E6*$M$2</f>
        <v>16.7039800995025</v>
      </c>
      <c r="H6" s="28" t="n">
        <f aca="false">'APUS ARQUITECTURA'!J5</f>
        <v>135.824337926792</v>
      </c>
      <c r="I6" s="1" t="n">
        <f aca="false">G6*H6</f>
        <v>2268.80703775723</v>
      </c>
      <c r="O6" s="253"/>
      <c r="P6" s="253"/>
      <c r="Q6" s="253"/>
      <c r="R6" s="253"/>
      <c r="S6" s="253"/>
      <c r="T6" s="253"/>
      <c r="U6" s="254"/>
      <c r="V6" s="253"/>
      <c r="W6" s="253"/>
      <c r="X6" s="253"/>
      <c r="Y6" s="253"/>
      <c r="Z6" s="253"/>
      <c r="AA6" s="253"/>
      <c r="AB6" s="253"/>
      <c r="AC6" s="253"/>
      <c r="AD6" s="253"/>
      <c r="AE6" s="253"/>
      <c r="AF6" s="253"/>
      <c r="AG6" s="253"/>
      <c r="AH6" s="254"/>
      <c r="AI6" s="254"/>
      <c r="AJ6" s="254"/>
      <c r="AK6" s="254"/>
      <c r="AL6" s="255"/>
      <c r="AM6" s="254"/>
      <c r="AN6" s="254"/>
      <c r="AO6" s="253"/>
      <c r="AP6" s="253"/>
      <c r="AR6" s="253"/>
      <c r="AS6" s="253"/>
      <c r="AT6" s="253"/>
      <c r="AU6" s="253"/>
      <c r="AV6" s="253"/>
      <c r="AW6" s="253"/>
      <c r="AX6" s="253"/>
      <c r="AY6" s="253"/>
    </row>
    <row r="7" customFormat="false" ht="16.4" hidden="false" customHeight="false" outlineLevel="0" collapsed="false">
      <c r="A7" s="1" t="s">
        <v>759</v>
      </c>
      <c r="E7" s="253" t="n">
        <v>0</v>
      </c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53"/>
      <c r="P7" s="253"/>
      <c r="Q7" s="253"/>
      <c r="R7" s="253"/>
      <c r="S7" s="253"/>
      <c r="T7" s="253"/>
      <c r="U7" s="253"/>
      <c r="V7" s="253"/>
      <c r="W7" s="253"/>
      <c r="X7" s="253"/>
      <c r="Y7" s="253"/>
      <c r="Z7" s="253"/>
      <c r="AA7" s="253"/>
      <c r="AB7" s="253"/>
      <c r="AC7" s="253"/>
      <c r="AD7" s="253"/>
      <c r="AE7" s="253"/>
      <c r="AF7" s="253"/>
      <c r="AG7" s="253"/>
      <c r="AH7" s="254"/>
      <c r="AI7" s="254"/>
      <c r="AJ7" s="254"/>
      <c r="AK7" s="254"/>
      <c r="AL7" s="255"/>
      <c r="AM7" s="254"/>
      <c r="AN7" s="254"/>
      <c r="AO7" s="253"/>
      <c r="AP7" s="253"/>
      <c r="AR7" s="253"/>
      <c r="AS7" s="253"/>
      <c r="AT7" s="253"/>
      <c r="AU7" s="253"/>
      <c r="AV7" s="253"/>
      <c r="AW7" s="253"/>
      <c r="AX7" s="253"/>
      <c r="AY7" s="253"/>
    </row>
    <row r="8" customFormat="false" ht="16.4" hidden="false" customHeight="false" outlineLevel="0" collapsed="false">
      <c r="A8" s="1" t="s">
        <v>761</v>
      </c>
      <c r="E8" s="253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53"/>
      <c r="P8" s="253"/>
      <c r="Q8" s="253"/>
      <c r="R8" s="253"/>
      <c r="S8" s="253"/>
      <c r="T8" s="253"/>
      <c r="U8" s="254"/>
      <c r="V8" s="253"/>
      <c r="W8" s="253"/>
      <c r="X8" s="253"/>
      <c r="Y8" s="253"/>
      <c r="Z8" s="253"/>
      <c r="AA8" s="253"/>
      <c r="AB8" s="253"/>
      <c r="AC8" s="253"/>
      <c r="AD8" s="254"/>
      <c r="AE8" s="254"/>
      <c r="AF8" s="253"/>
      <c r="AG8" s="253"/>
      <c r="AH8" s="254"/>
      <c r="AI8" s="254"/>
      <c r="AJ8" s="254"/>
      <c r="AK8" s="254"/>
      <c r="AL8" s="255"/>
      <c r="AM8" s="254"/>
      <c r="AN8" s="254"/>
      <c r="AO8" s="253"/>
      <c r="AP8" s="253"/>
      <c r="AR8" s="253"/>
      <c r="AS8" s="253"/>
      <c r="AT8" s="253"/>
      <c r="AU8" s="253"/>
      <c r="AV8" s="253"/>
      <c r="AW8" s="253"/>
      <c r="AX8" s="253"/>
      <c r="AY8" s="253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199"/>
      <c r="P9" s="199"/>
      <c r="Q9" s="199"/>
      <c r="R9" s="199"/>
      <c r="S9" s="199"/>
      <c r="T9" s="199"/>
      <c r="U9" s="256"/>
      <c r="V9" s="199"/>
      <c r="W9" s="199"/>
      <c r="X9" s="199"/>
      <c r="Y9" s="199"/>
      <c r="Z9" s="199"/>
      <c r="AA9" s="199"/>
      <c r="AB9" s="199"/>
      <c r="AC9" s="199"/>
      <c r="AD9" s="256"/>
      <c r="AE9" s="256"/>
      <c r="AF9" s="199"/>
      <c r="AG9" s="199"/>
      <c r="AH9" s="256"/>
      <c r="AI9" s="256"/>
      <c r="AJ9" s="256"/>
      <c r="AK9" s="256"/>
      <c r="AL9" s="257"/>
      <c r="AM9" s="256"/>
      <c r="AN9" s="256"/>
      <c r="AO9" s="199"/>
      <c r="AP9" s="199"/>
      <c r="AR9" s="199"/>
      <c r="AS9" s="199"/>
      <c r="AT9" s="199"/>
      <c r="AU9" s="199"/>
      <c r="AV9" s="199"/>
      <c r="AW9" s="199"/>
      <c r="AX9" s="199"/>
      <c r="AY9" s="199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199"/>
      <c r="P10" s="199"/>
      <c r="Q10" s="199"/>
      <c r="R10" s="199"/>
      <c r="S10" s="256"/>
      <c r="T10" s="256"/>
      <c r="U10" s="256"/>
      <c r="V10" s="256"/>
      <c r="W10" s="256"/>
      <c r="X10" s="256"/>
      <c r="Y10" s="256"/>
      <c r="Z10" s="256"/>
      <c r="AA10" s="256"/>
      <c r="AB10" s="256"/>
      <c r="AC10" s="256"/>
      <c r="AD10" s="256"/>
      <c r="AE10" s="256"/>
      <c r="AF10" s="256"/>
      <c r="AG10" s="256"/>
      <c r="AH10" s="256"/>
      <c r="AI10" s="256"/>
      <c r="AJ10" s="256"/>
      <c r="AK10" s="256"/>
      <c r="AL10" s="257"/>
      <c r="AM10" s="256"/>
      <c r="AN10" s="256"/>
      <c r="AO10" s="256"/>
      <c r="AP10" s="256"/>
      <c r="AQ10" s="69"/>
      <c r="AR10" s="256"/>
      <c r="AS10" s="256"/>
      <c r="AT10" s="256"/>
      <c r="AU10" s="256"/>
      <c r="AV10" s="256"/>
      <c r="AW10" s="256"/>
      <c r="AX10" s="256"/>
      <c r="AY10" s="256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f aca="false">E6+E8+((0.85*4+1.8*2)*3/60.3)</f>
        <v>1.01641791044776</v>
      </c>
      <c r="F13" s="1" t="s">
        <v>134</v>
      </c>
      <c r="G13" s="71" t="n">
        <f aca="false">E13*$M$2</f>
        <v>25.410447761194</v>
      </c>
      <c r="H13" s="28" t="n">
        <f aca="false">'APUS ARQUITECTURA'!J127</f>
        <v>27.1229651333333</v>
      </c>
      <c r="I13" s="1" t="n">
        <f aca="false">G13*H13</f>
        <v>689.206688649254</v>
      </c>
      <c r="O13" s="253"/>
      <c r="P13" s="253"/>
      <c r="Q13" s="253"/>
      <c r="R13" s="253"/>
      <c r="S13" s="254"/>
      <c r="T13" s="254"/>
      <c r="U13" s="254"/>
      <c r="V13" s="254"/>
      <c r="W13" s="255"/>
      <c r="X13" s="254"/>
      <c r="Y13" s="254"/>
      <c r="Z13" s="254"/>
      <c r="AA13" s="254"/>
      <c r="AB13" s="254"/>
      <c r="AC13" s="254"/>
      <c r="AD13" s="254"/>
      <c r="AE13" s="254"/>
      <c r="AF13" s="254"/>
      <c r="AG13" s="254"/>
      <c r="AH13" s="254"/>
      <c r="AI13" s="258"/>
      <c r="AJ13" s="258"/>
      <c r="AK13" s="254"/>
      <c r="AL13" s="255"/>
      <c r="AM13" s="254"/>
      <c r="AN13" s="254"/>
      <c r="AO13" s="254"/>
      <c r="AP13" s="254"/>
      <c r="AQ13" s="69"/>
      <c r="AR13" s="254"/>
      <c r="AS13" s="254"/>
      <c r="AT13" s="254"/>
      <c r="AU13" s="254"/>
      <c r="AV13" s="258"/>
      <c r="AW13" s="254"/>
      <c r="AX13" s="254"/>
      <c r="AY13" s="254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((2.8*4*3.3)+(2.2*4*3.3)-(2.8*2*1)-(2.1*1))/60.3</f>
        <v>0.966832504145937</v>
      </c>
      <c r="F14" s="1" t="s">
        <v>134</v>
      </c>
      <c r="G14" s="71" t="n">
        <f aca="false">E14*$M$2</f>
        <v>24.1708126036484</v>
      </c>
      <c r="H14" s="28" t="n">
        <f aca="false">'APUS ARQUITECTURA'!J148</f>
        <v>35.8409626666667</v>
      </c>
      <c r="I14" s="1" t="n">
        <f aca="false">G14*H14</f>
        <v>866.305192150359</v>
      </c>
      <c r="O14" s="253"/>
      <c r="P14" s="253"/>
      <c r="Q14" s="253"/>
      <c r="R14" s="253"/>
      <c r="S14" s="254"/>
      <c r="T14" s="254"/>
      <c r="U14" s="254"/>
      <c r="V14" s="254"/>
      <c r="W14" s="254"/>
      <c r="X14" s="254"/>
      <c r="Y14" s="254"/>
      <c r="Z14" s="254"/>
      <c r="AA14" s="254"/>
      <c r="AB14" s="254"/>
      <c r="AC14" s="254"/>
      <c r="AD14" s="254"/>
      <c r="AE14" s="254"/>
      <c r="AF14" s="254"/>
      <c r="AG14" s="254"/>
      <c r="AH14" s="254"/>
      <c r="AI14" s="254"/>
      <c r="AJ14" s="254"/>
      <c r="AK14" s="254"/>
      <c r="AL14" s="255"/>
      <c r="AM14" s="254"/>
      <c r="AN14" s="254"/>
      <c r="AO14" s="254"/>
      <c r="AP14" s="254"/>
      <c r="AQ14" s="69"/>
      <c r="AR14" s="254"/>
      <c r="AS14" s="254"/>
      <c r="AT14" s="254"/>
      <c r="AU14" s="254"/>
      <c r="AV14" s="254"/>
      <c r="AW14" s="254"/>
      <c r="AX14" s="254"/>
      <c r="AY14" s="254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53"/>
      <c r="P15" s="253"/>
      <c r="Q15" s="253"/>
      <c r="R15" s="253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5"/>
      <c r="AM15" s="254"/>
      <c r="AN15" s="254"/>
      <c r="AO15" s="254"/>
      <c r="AP15" s="254"/>
      <c r="AQ15" s="69"/>
      <c r="AR15" s="254"/>
      <c r="AS15" s="254"/>
      <c r="AT15" s="254"/>
      <c r="AU15" s="254"/>
      <c r="AV15" s="254"/>
      <c r="AW15" s="254"/>
      <c r="AX15" s="254"/>
      <c r="AY15" s="254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53"/>
      <c r="P16" s="253"/>
      <c r="Q16" s="253"/>
      <c r="R16" s="253"/>
      <c r="S16" s="254"/>
      <c r="T16" s="254"/>
      <c r="U16" s="254"/>
      <c r="V16" s="254"/>
      <c r="W16" s="255"/>
      <c r="X16" s="254"/>
      <c r="Y16" s="254"/>
      <c r="Z16" s="254"/>
      <c r="AA16" s="254"/>
      <c r="AB16" s="254"/>
      <c r="AC16" s="254"/>
      <c r="AD16" s="254"/>
      <c r="AE16" s="254"/>
      <c r="AF16" s="254"/>
      <c r="AG16" s="254"/>
      <c r="AH16" s="254"/>
      <c r="AI16" s="254"/>
      <c r="AJ16" s="254"/>
      <c r="AK16" s="254"/>
      <c r="AL16" s="255"/>
      <c r="AM16" s="254"/>
      <c r="AN16" s="254"/>
      <c r="AO16" s="254"/>
      <c r="AP16" s="254"/>
      <c r="AQ16" s="69"/>
      <c r="AR16" s="254"/>
      <c r="AS16" s="254"/>
      <c r="AT16" s="254"/>
      <c r="AU16" s="254"/>
      <c r="AV16" s="254"/>
      <c r="AW16" s="254"/>
      <c r="AX16" s="254"/>
      <c r="AY16" s="254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53"/>
      <c r="P18" s="253"/>
      <c r="Q18" s="253"/>
      <c r="R18" s="253"/>
      <c r="S18" s="254"/>
      <c r="T18" s="254"/>
      <c r="U18" s="254"/>
      <c r="V18" s="254"/>
      <c r="W18" s="255"/>
      <c r="X18" s="254"/>
      <c r="Y18" s="254"/>
      <c r="Z18" s="254"/>
      <c r="AA18" s="254"/>
      <c r="AB18" s="254"/>
      <c r="AC18" s="254"/>
      <c r="AD18" s="254"/>
      <c r="AE18" s="254"/>
      <c r="AF18" s="254"/>
      <c r="AG18" s="254"/>
      <c r="AH18" s="254"/>
      <c r="AI18" s="254"/>
      <c r="AJ18" s="254"/>
      <c r="AK18" s="254"/>
      <c r="AL18" s="255"/>
      <c r="AM18" s="254"/>
      <c r="AN18" s="254"/>
      <c r="AO18" s="254"/>
      <c r="AP18" s="254"/>
      <c r="AQ18" s="69"/>
      <c r="AR18" s="254"/>
      <c r="AS18" s="254"/>
      <c r="AT18" s="254"/>
      <c r="AU18" s="254"/>
      <c r="AV18" s="254"/>
      <c r="AW18" s="254"/>
      <c r="AX18" s="254"/>
      <c r="AY18" s="254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 t="n">
        <v>1</v>
      </c>
      <c r="F19" s="1" t="s">
        <v>204</v>
      </c>
      <c r="G19" s="71" t="n">
        <f aca="false">E19*$M$2</f>
        <v>25</v>
      </c>
      <c r="H19" s="28" t="n">
        <f aca="false">'APUS ARQUITECTURA'!J212</f>
        <v>62.663358</v>
      </c>
      <c r="I19" s="1" t="n">
        <f aca="false">G19*H19</f>
        <v>1566.58395</v>
      </c>
      <c r="O19" s="253"/>
      <c r="P19" s="253"/>
      <c r="Q19" s="253"/>
      <c r="R19" s="253"/>
      <c r="S19" s="254"/>
      <c r="T19" s="254"/>
      <c r="U19" s="254"/>
      <c r="V19" s="254"/>
      <c r="W19" s="255"/>
      <c r="X19" s="254"/>
      <c r="Y19" s="254"/>
      <c r="Z19" s="254"/>
      <c r="AA19" s="254"/>
      <c r="AB19" s="254"/>
      <c r="AC19" s="254"/>
      <c r="AD19" s="254"/>
      <c r="AE19" s="254"/>
      <c r="AF19" s="254"/>
      <c r="AG19" s="254"/>
      <c r="AH19" s="254"/>
      <c r="AI19" s="254"/>
      <c r="AJ19" s="254"/>
      <c r="AK19" s="254"/>
      <c r="AL19" s="255"/>
      <c r="AM19" s="254"/>
      <c r="AN19" s="254"/>
      <c r="AO19" s="254"/>
      <c r="AP19" s="254"/>
      <c r="AQ19" s="69"/>
      <c r="AR19" s="254"/>
      <c r="AS19" s="254"/>
      <c r="AT19" s="254"/>
      <c r="AU19" s="254"/>
      <c r="AV19" s="254"/>
      <c r="AW19" s="254"/>
      <c r="AX19" s="254"/>
      <c r="AY19" s="254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v>1</v>
      </c>
      <c r="F21" s="1" t="s">
        <v>134</v>
      </c>
      <c r="G21" s="71" t="n">
        <f aca="false">E21*$M$2</f>
        <v>25</v>
      </c>
      <c r="H21" s="28" t="n">
        <f aca="false">'APUS ARQUITECTURA'!J232</f>
        <v>40.18468579</v>
      </c>
      <c r="I21" s="1" t="n">
        <f aca="false">G21*H21</f>
        <v>1004.61714475</v>
      </c>
      <c r="O21" s="253"/>
      <c r="P21" s="253"/>
      <c r="Q21" s="253"/>
      <c r="R21" s="253"/>
      <c r="S21" s="254"/>
      <c r="T21" s="254"/>
      <c r="U21" s="254"/>
      <c r="V21" s="254"/>
      <c r="W21" s="255"/>
      <c r="X21" s="254"/>
      <c r="Y21" s="254"/>
      <c r="Z21" s="254"/>
      <c r="AA21" s="254"/>
      <c r="AB21" s="254"/>
      <c r="AC21" s="254"/>
      <c r="AD21" s="254"/>
      <c r="AE21" s="254"/>
      <c r="AF21" s="254"/>
      <c r="AG21" s="254"/>
      <c r="AH21" s="254"/>
      <c r="AI21" s="254"/>
      <c r="AJ21" s="254"/>
      <c r="AK21" s="254"/>
      <c r="AL21" s="255"/>
      <c r="AM21" s="254"/>
      <c r="AN21" s="254"/>
      <c r="AO21" s="254"/>
      <c r="AP21" s="254"/>
      <c r="AQ21" s="69"/>
      <c r="AR21" s="254"/>
      <c r="AS21" s="254"/>
      <c r="AT21" s="254"/>
      <c r="AU21" s="254"/>
      <c r="AV21" s="254"/>
      <c r="AW21" s="254"/>
      <c r="AX21" s="254"/>
      <c r="AY21" s="254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 t="n">
        <v>1</v>
      </c>
      <c r="F22" s="1" t="s">
        <v>134</v>
      </c>
      <c r="G22" s="71" t="n">
        <f aca="false">E22*$M$2</f>
        <v>25</v>
      </c>
      <c r="H22" s="28" t="n">
        <f aca="false">'APUS ARQUITECTURA'!J252</f>
        <v>206.773372</v>
      </c>
      <c r="I22" s="1" t="n">
        <f aca="false">G22*H22</f>
        <v>5169.3343</v>
      </c>
      <c r="O22" s="253"/>
      <c r="P22" s="253"/>
      <c r="Q22" s="253"/>
      <c r="R22" s="253"/>
      <c r="S22" s="254"/>
      <c r="T22" s="254"/>
      <c r="U22" s="254"/>
      <c r="V22" s="254"/>
      <c r="W22" s="255"/>
      <c r="X22" s="254"/>
      <c r="Y22" s="254"/>
      <c r="Z22" s="254"/>
      <c r="AA22" s="254"/>
      <c r="AB22" s="254"/>
      <c r="AC22" s="254"/>
      <c r="AD22" s="254"/>
      <c r="AE22" s="254"/>
      <c r="AF22" s="254"/>
      <c r="AG22" s="254"/>
      <c r="AH22" s="254"/>
      <c r="AI22" s="254"/>
      <c r="AJ22" s="254"/>
      <c r="AK22" s="254"/>
      <c r="AL22" s="255"/>
      <c r="AM22" s="254"/>
      <c r="AN22" s="254"/>
      <c r="AO22" s="254"/>
      <c r="AP22" s="254"/>
      <c r="AQ22" s="69"/>
      <c r="AR22" s="254"/>
      <c r="AS22" s="254"/>
      <c r="AT22" s="254"/>
      <c r="AU22" s="254"/>
      <c r="AV22" s="254"/>
      <c r="AW22" s="254"/>
      <c r="AX22" s="254"/>
      <c r="AY22" s="254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53"/>
      <c r="P23" s="253"/>
      <c r="Q23" s="253"/>
      <c r="R23" s="253"/>
      <c r="S23" s="254"/>
      <c r="T23" s="254"/>
      <c r="U23" s="254"/>
      <c r="V23" s="254"/>
      <c r="W23" s="255"/>
      <c r="X23" s="254"/>
      <c r="Y23" s="254"/>
      <c r="Z23" s="254"/>
      <c r="AA23" s="254"/>
      <c r="AB23" s="254"/>
      <c r="AC23" s="254"/>
      <c r="AD23" s="254"/>
      <c r="AE23" s="254"/>
      <c r="AF23" s="254"/>
      <c r="AG23" s="254"/>
      <c r="AH23" s="254"/>
      <c r="AI23" s="254"/>
      <c r="AJ23" s="254"/>
      <c r="AK23" s="254"/>
      <c r="AL23" s="255"/>
      <c r="AM23" s="254"/>
      <c r="AN23" s="254"/>
      <c r="AO23" s="254"/>
      <c r="AP23" s="254"/>
      <c r="AQ23" s="69"/>
      <c r="AR23" s="254"/>
      <c r="AS23" s="254"/>
      <c r="AT23" s="254"/>
      <c r="AU23" s="254"/>
      <c r="AV23" s="254"/>
      <c r="AW23" s="254"/>
      <c r="AX23" s="254"/>
      <c r="AY23" s="254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53"/>
      <c r="P24" s="253"/>
      <c r="Q24" s="253"/>
      <c r="R24" s="253"/>
      <c r="S24" s="254"/>
      <c r="T24" s="254"/>
      <c r="U24" s="254"/>
      <c r="V24" s="254"/>
      <c r="W24" s="255"/>
      <c r="X24" s="254"/>
      <c r="Y24" s="254"/>
      <c r="Z24" s="254"/>
      <c r="AA24" s="254"/>
      <c r="AB24" s="254"/>
      <c r="AC24" s="254"/>
      <c r="AD24" s="254"/>
      <c r="AE24" s="254"/>
      <c r="AF24" s="254"/>
      <c r="AG24" s="254"/>
      <c r="AH24" s="254"/>
      <c r="AI24" s="254"/>
      <c r="AJ24" s="254"/>
      <c r="AK24" s="254"/>
      <c r="AL24" s="255"/>
      <c r="AM24" s="254"/>
      <c r="AN24" s="254"/>
      <c r="AO24" s="254"/>
      <c r="AP24" s="254"/>
      <c r="AQ24" s="69"/>
      <c r="AR24" s="254"/>
      <c r="AS24" s="254"/>
      <c r="AT24" s="254"/>
      <c r="AU24" s="254"/>
      <c r="AV24" s="254"/>
      <c r="AW24" s="254"/>
      <c r="AX24" s="254"/>
      <c r="AY24" s="254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53"/>
      <c r="P25" s="253"/>
      <c r="Q25" s="253"/>
      <c r="R25" s="253"/>
      <c r="S25" s="254"/>
      <c r="T25" s="254"/>
      <c r="U25" s="254"/>
      <c r="V25" s="254"/>
      <c r="W25" s="255"/>
      <c r="X25" s="254"/>
      <c r="Y25" s="254"/>
      <c r="Z25" s="254"/>
      <c r="AA25" s="254"/>
      <c r="AB25" s="254"/>
      <c r="AC25" s="254"/>
      <c r="AD25" s="254"/>
      <c r="AE25" s="254"/>
      <c r="AF25" s="254"/>
      <c r="AG25" s="254"/>
      <c r="AH25" s="254"/>
      <c r="AI25" s="254"/>
      <c r="AJ25" s="254"/>
      <c r="AK25" s="254"/>
      <c r="AL25" s="255"/>
      <c r="AM25" s="254"/>
      <c r="AN25" s="254"/>
      <c r="AO25" s="254"/>
      <c r="AP25" s="254"/>
      <c r="AQ25" s="69"/>
      <c r="AR25" s="254"/>
      <c r="AS25" s="254"/>
      <c r="AT25" s="254"/>
      <c r="AU25" s="254"/>
      <c r="AV25" s="254"/>
      <c r="AW25" s="254"/>
      <c r="AX25" s="254"/>
      <c r="AY25" s="254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53"/>
      <c r="P26" s="253"/>
      <c r="Q26" s="253"/>
      <c r="R26" s="253"/>
      <c r="S26" s="254"/>
      <c r="T26" s="254"/>
      <c r="U26" s="254"/>
      <c r="V26" s="254"/>
      <c r="W26" s="255"/>
      <c r="X26" s="254"/>
      <c r="Y26" s="254"/>
      <c r="Z26" s="254"/>
      <c r="AA26" s="254"/>
      <c r="AB26" s="254"/>
      <c r="AC26" s="254"/>
      <c r="AD26" s="254"/>
      <c r="AE26" s="254"/>
      <c r="AF26" s="254"/>
      <c r="AG26" s="254"/>
      <c r="AH26" s="254"/>
      <c r="AI26" s="254"/>
      <c r="AJ26" s="254"/>
      <c r="AK26" s="254"/>
      <c r="AL26" s="255"/>
      <c r="AM26" s="254"/>
      <c r="AN26" s="254"/>
      <c r="AO26" s="254"/>
      <c r="AP26" s="254"/>
      <c r="AQ26" s="69"/>
      <c r="AR26" s="254"/>
      <c r="AS26" s="254"/>
      <c r="AT26" s="254"/>
      <c r="AU26" s="254"/>
      <c r="AV26" s="254"/>
      <c r="AW26" s="254"/>
      <c r="AX26" s="254"/>
      <c r="AY26" s="254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53"/>
      <c r="P27" s="253"/>
      <c r="Q27" s="253"/>
      <c r="R27" s="253"/>
      <c r="S27" s="254"/>
      <c r="T27" s="254"/>
      <c r="U27" s="254"/>
      <c r="V27" s="254"/>
      <c r="W27" s="255"/>
      <c r="X27" s="254"/>
      <c r="Y27" s="254"/>
      <c r="Z27" s="254"/>
      <c r="AA27" s="254"/>
      <c r="AB27" s="254"/>
      <c r="AC27" s="254"/>
      <c r="AD27" s="254"/>
      <c r="AE27" s="254"/>
      <c r="AF27" s="254"/>
      <c r="AG27" s="254"/>
      <c r="AH27" s="254"/>
      <c r="AI27" s="254"/>
      <c r="AJ27" s="254"/>
      <c r="AK27" s="254"/>
      <c r="AL27" s="255"/>
      <c r="AM27" s="254"/>
      <c r="AN27" s="254"/>
      <c r="AO27" s="254"/>
      <c r="AP27" s="254"/>
      <c r="AQ27" s="69"/>
      <c r="AR27" s="254"/>
      <c r="AS27" s="254"/>
      <c r="AT27" s="254"/>
      <c r="AU27" s="254"/>
      <c r="AV27" s="254"/>
      <c r="AW27" s="254"/>
      <c r="AX27" s="254"/>
      <c r="AY27" s="254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53"/>
      <c r="P28" s="253"/>
      <c r="Q28" s="253"/>
      <c r="R28" s="253"/>
      <c r="S28" s="254"/>
      <c r="T28" s="254"/>
      <c r="U28" s="254"/>
      <c r="V28" s="254"/>
      <c r="W28" s="254"/>
      <c r="X28" s="254"/>
      <c r="Y28" s="254"/>
      <c r="Z28" s="254"/>
      <c r="AA28" s="254"/>
      <c r="AB28" s="254"/>
      <c r="AC28" s="254"/>
      <c r="AD28" s="254"/>
      <c r="AE28" s="254"/>
      <c r="AF28" s="254"/>
      <c r="AG28" s="254"/>
      <c r="AH28" s="254"/>
      <c r="AI28" s="254"/>
      <c r="AJ28" s="254"/>
      <c r="AK28" s="254"/>
      <c r="AL28" s="255"/>
      <c r="AM28" s="254"/>
      <c r="AN28" s="254"/>
      <c r="AO28" s="254"/>
      <c r="AP28" s="254"/>
      <c r="AQ28" s="69"/>
      <c r="AR28" s="254"/>
      <c r="AS28" s="254"/>
      <c r="AT28" s="254"/>
      <c r="AU28" s="254"/>
      <c r="AV28" s="254"/>
      <c r="AW28" s="254"/>
      <c r="AX28" s="254"/>
      <c r="AY28" s="254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10.241935483871</v>
      </c>
      <c r="H29" s="28" t="n">
        <f aca="false">'APUS ARQUITECTURA'!J364</f>
        <v>26.68748</v>
      </c>
      <c r="I29" s="1" t="n">
        <f aca="false">G29*H29</f>
        <v>273.331448387097</v>
      </c>
      <c r="O29" s="253"/>
      <c r="P29" s="253"/>
      <c r="Q29" s="253"/>
      <c r="R29" s="253"/>
      <c r="S29" s="254"/>
      <c r="T29" s="254"/>
      <c r="U29" s="254"/>
      <c r="V29" s="254"/>
      <c r="W29" s="254"/>
      <c r="X29" s="254"/>
      <c r="Y29" s="254"/>
      <c r="Z29" s="254"/>
      <c r="AA29" s="254"/>
      <c r="AB29" s="254"/>
      <c r="AC29" s="254"/>
      <c r="AD29" s="254"/>
      <c r="AE29" s="254"/>
      <c r="AF29" s="254"/>
      <c r="AG29" s="254"/>
      <c r="AH29" s="254"/>
      <c r="AI29" s="254"/>
      <c r="AJ29" s="254"/>
      <c r="AK29" s="254"/>
      <c r="AL29" s="255"/>
      <c r="AM29" s="254"/>
      <c r="AN29" s="254"/>
      <c r="AO29" s="254"/>
      <c r="AP29" s="254"/>
      <c r="AQ29" s="69"/>
      <c r="AR29" s="254"/>
      <c r="AS29" s="254"/>
      <c r="AT29" s="254"/>
      <c r="AU29" s="254"/>
      <c r="AV29" s="254"/>
      <c r="AW29" s="254"/>
      <c r="AX29" s="254"/>
      <c r="AY29" s="254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 t="n">
        <f aca="false">((((2*(8.65+0.4)+(2*6.95)))-(1))/60.3)</f>
        <v>0.514096185737977</v>
      </c>
      <c r="F30" s="1" t="s">
        <v>145</v>
      </c>
      <c r="G30" s="71" t="n">
        <f aca="false">E30*$M$2</f>
        <v>12.8524046434494</v>
      </c>
      <c r="H30" s="28" t="n">
        <f aca="false">'APUS ARQUITECTURA'!J383</f>
        <v>36.537022</v>
      </c>
      <c r="I30" s="1" t="n">
        <f aca="false">G30*H30</f>
        <v>469.588591210614</v>
      </c>
      <c r="O30" s="253"/>
      <c r="P30" s="253"/>
      <c r="Q30" s="253"/>
      <c r="R30" s="253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5"/>
      <c r="AM30" s="254"/>
      <c r="AN30" s="254"/>
      <c r="AO30" s="254"/>
      <c r="AP30" s="254"/>
      <c r="AQ30" s="69"/>
      <c r="AR30" s="254"/>
      <c r="AS30" s="254"/>
      <c r="AT30" s="254"/>
      <c r="AU30" s="254"/>
      <c r="AV30" s="254"/>
      <c r="AW30" s="254"/>
      <c r="AX30" s="254"/>
      <c r="AY30" s="254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53"/>
      <c r="P31" s="253"/>
      <c r="Q31" s="253"/>
      <c r="R31" s="253"/>
      <c r="S31" s="254"/>
      <c r="T31" s="254"/>
      <c r="U31" s="254"/>
      <c r="V31" s="254"/>
      <c r="W31" s="254"/>
      <c r="X31" s="254"/>
      <c r="Y31" s="254"/>
      <c r="Z31" s="254"/>
      <c r="AA31" s="254"/>
      <c r="AB31" s="254"/>
      <c r="AC31" s="254"/>
      <c r="AD31" s="254"/>
      <c r="AE31" s="254"/>
      <c r="AF31" s="254"/>
      <c r="AG31" s="254"/>
      <c r="AH31" s="254"/>
      <c r="AI31" s="254"/>
      <c r="AJ31" s="254"/>
      <c r="AK31" s="254"/>
      <c r="AL31" s="255"/>
      <c r="AM31" s="254"/>
      <c r="AN31" s="254"/>
      <c r="AO31" s="254"/>
      <c r="AP31" s="254"/>
      <c r="AQ31" s="69"/>
      <c r="AR31" s="254"/>
      <c r="AS31" s="254"/>
      <c r="AT31" s="254"/>
      <c r="AU31" s="254"/>
      <c r="AV31" s="254"/>
      <c r="AW31" s="254"/>
      <c r="AX31" s="254"/>
      <c r="AY31" s="254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53"/>
      <c r="P32" s="253"/>
      <c r="Q32" s="253"/>
      <c r="R32" s="253"/>
      <c r="S32" s="254"/>
      <c r="T32" s="254"/>
      <c r="U32" s="254"/>
      <c r="V32" s="254"/>
      <c r="W32" s="255"/>
      <c r="X32" s="254"/>
      <c r="Y32" s="254"/>
      <c r="Z32" s="254"/>
      <c r="AA32" s="254"/>
      <c r="AB32" s="254"/>
      <c r="AC32" s="254"/>
      <c r="AD32" s="254"/>
      <c r="AE32" s="254"/>
      <c r="AF32" s="254"/>
      <c r="AG32" s="254"/>
      <c r="AH32" s="254"/>
      <c r="AI32" s="254"/>
      <c r="AJ32" s="254"/>
      <c r="AK32" s="254"/>
      <c r="AL32" s="255"/>
      <c r="AM32" s="254"/>
      <c r="AN32" s="254"/>
      <c r="AO32" s="254"/>
      <c r="AP32" s="254"/>
      <c r="AQ32" s="69"/>
      <c r="AR32" s="254"/>
      <c r="AS32" s="254"/>
      <c r="AT32" s="254"/>
      <c r="AU32" s="254"/>
      <c r="AV32" s="254"/>
      <c r="AW32" s="254"/>
      <c r="AX32" s="254"/>
      <c r="AY32" s="254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53"/>
      <c r="P33" s="253"/>
      <c r="Q33" s="253"/>
      <c r="R33" s="253"/>
      <c r="S33" s="254"/>
      <c r="T33" s="254"/>
      <c r="U33" s="254"/>
      <c r="V33" s="254"/>
      <c r="W33" s="255"/>
      <c r="X33" s="254"/>
      <c r="Y33" s="254"/>
      <c r="Z33" s="254"/>
      <c r="AA33" s="254"/>
      <c r="AB33" s="254"/>
      <c r="AC33" s="254"/>
      <c r="AD33" s="254"/>
      <c r="AE33" s="254"/>
      <c r="AF33" s="254"/>
      <c r="AG33" s="254"/>
      <c r="AH33" s="254"/>
      <c r="AI33" s="254"/>
      <c r="AJ33" s="254"/>
      <c r="AK33" s="254"/>
      <c r="AL33" s="255"/>
      <c r="AM33" s="254"/>
      <c r="AN33" s="254"/>
      <c r="AO33" s="254"/>
      <c r="AP33" s="254"/>
      <c r="AQ33" s="69"/>
      <c r="AR33" s="254"/>
      <c r="AS33" s="254"/>
      <c r="AT33" s="254"/>
      <c r="AU33" s="254"/>
      <c r="AV33" s="254"/>
      <c r="AW33" s="254"/>
      <c r="AX33" s="254"/>
      <c r="AY33" s="254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53"/>
      <c r="P34" s="253"/>
      <c r="Q34" s="253"/>
      <c r="R34" s="253"/>
      <c r="S34" s="254"/>
      <c r="T34" s="254"/>
      <c r="U34" s="254"/>
      <c r="V34" s="254"/>
      <c r="W34" s="255"/>
      <c r="X34" s="254"/>
      <c r="Y34" s="254"/>
      <c r="Z34" s="254"/>
      <c r="AA34" s="254"/>
      <c r="AB34" s="254"/>
      <c r="AC34" s="254"/>
      <c r="AD34" s="254"/>
      <c r="AE34" s="254"/>
      <c r="AF34" s="254"/>
      <c r="AG34" s="254"/>
      <c r="AH34" s="254"/>
      <c r="AI34" s="254"/>
      <c r="AJ34" s="254"/>
      <c r="AK34" s="254"/>
      <c r="AL34" s="255"/>
      <c r="AM34" s="254"/>
      <c r="AN34" s="254"/>
      <c r="AO34" s="254"/>
      <c r="AP34" s="254"/>
      <c r="AQ34" s="69"/>
      <c r="AR34" s="254"/>
      <c r="AS34" s="254"/>
      <c r="AT34" s="254"/>
      <c r="AU34" s="254"/>
      <c r="AV34" s="254"/>
      <c r="AW34" s="254"/>
      <c r="AX34" s="254"/>
      <c r="AY34" s="254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f aca="false">1*2.1/60.3</f>
        <v>0.0348258706467662</v>
      </c>
      <c r="F35" s="1" t="s">
        <v>134</v>
      </c>
      <c r="G35" s="71" t="n">
        <f aca="false">E35*$M$2</f>
        <v>0.870646766169154</v>
      </c>
      <c r="H35" s="28" t="n">
        <f aca="false">'APUS ARQUITECTURA'!J449</f>
        <v>560.6226</v>
      </c>
      <c r="I35" s="1" t="n">
        <f aca="false">G35*H35</f>
        <v>488.104253731343</v>
      </c>
      <c r="O35" s="199"/>
      <c r="P35" s="259"/>
      <c r="Q35" s="259"/>
      <c r="R35" s="259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1"/>
      <c r="AE35" s="260"/>
      <c r="AF35" s="260"/>
      <c r="AG35" s="260"/>
      <c r="AH35" s="260"/>
      <c r="AI35" s="260"/>
      <c r="AJ35" s="260"/>
      <c r="AK35" s="260"/>
      <c r="AL35" s="257"/>
      <c r="AM35" s="260"/>
      <c r="AN35" s="260"/>
      <c r="AO35" s="260"/>
      <c r="AP35" s="260"/>
      <c r="AQ35" s="69"/>
      <c r="AR35" s="260"/>
      <c r="AS35" s="260"/>
      <c r="AT35" s="260"/>
      <c r="AU35" s="260"/>
      <c r="AV35" s="260"/>
      <c r="AW35" s="260"/>
      <c r="AX35" s="260"/>
      <c r="AY35" s="260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 t="n">
        <f aca="false">((3*2.8*1)+1)/60.3</f>
        <v>0.155887230514096</v>
      </c>
      <c r="F36" s="1" t="s">
        <v>134</v>
      </c>
      <c r="G36" s="71" t="n">
        <f aca="false">E36*$M$2</f>
        <v>3.8971807628524</v>
      </c>
      <c r="H36" s="28" t="n">
        <f aca="false">'APUS ARQUITECTURA'!J456</f>
        <v>367.870834240906</v>
      </c>
      <c r="I36" s="1" t="n">
        <f aca="false">G36*H36</f>
        <v>1433.65913841813</v>
      </c>
      <c r="O36" s="253"/>
      <c r="P36" s="253"/>
      <c r="Q36" s="253"/>
      <c r="R36" s="253"/>
      <c r="S36" s="254"/>
      <c r="T36" s="254"/>
      <c r="U36" s="254"/>
      <c r="V36" s="254"/>
      <c r="W36" s="255"/>
      <c r="X36" s="254"/>
      <c r="Y36" s="254"/>
      <c r="Z36" s="254"/>
      <c r="AA36" s="254"/>
      <c r="AB36" s="254"/>
      <c r="AC36" s="254"/>
      <c r="AD36" s="254"/>
      <c r="AE36" s="254"/>
      <c r="AF36" s="254"/>
      <c r="AG36" s="254"/>
      <c r="AH36" s="254"/>
      <c r="AI36" s="254"/>
      <c r="AJ36" s="254"/>
      <c r="AK36" s="254"/>
      <c r="AL36" s="255"/>
      <c r="AM36" s="254"/>
      <c r="AN36" s="254"/>
      <c r="AO36" s="254"/>
      <c r="AP36" s="254"/>
      <c r="AQ36" s="69"/>
      <c r="AR36" s="254"/>
      <c r="AS36" s="254"/>
      <c r="AT36" s="254"/>
      <c r="AU36" s="254"/>
      <c r="AV36" s="254"/>
      <c r="AW36" s="254"/>
      <c r="AX36" s="254"/>
      <c r="AY36" s="254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62"/>
      <c r="P37" s="263"/>
      <c r="Q37" s="263"/>
      <c r="R37" s="263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  <c r="AK37" s="264"/>
      <c r="AL37" s="264"/>
      <c r="AM37" s="264"/>
      <c r="AN37" s="264"/>
      <c r="AO37" s="264"/>
      <c r="AP37" s="264"/>
      <c r="AQ37" s="69"/>
      <c r="AR37" s="264"/>
      <c r="AS37" s="264"/>
      <c r="AT37" s="264"/>
      <c r="AU37" s="264"/>
      <c r="AV37" s="264"/>
      <c r="AW37" s="264"/>
      <c r="AX37" s="264"/>
      <c r="AY37" s="264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3.25</v>
      </c>
      <c r="H38" s="28" t="n">
        <f aca="false">'APUS ARQUITECTURA'!J470</f>
        <v>622.13</v>
      </c>
      <c r="I38" s="1" t="n">
        <f aca="false">G38*H38</f>
        <v>2021.9225</v>
      </c>
      <c r="K38" s="82"/>
      <c r="O38" s="199"/>
      <c r="P38" s="199"/>
      <c r="Q38" s="199"/>
      <c r="R38" s="199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69"/>
      <c r="AR38" s="256"/>
      <c r="AS38" s="256"/>
      <c r="AT38" s="256"/>
      <c r="AU38" s="256"/>
      <c r="AV38" s="256"/>
      <c r="AW38" s="256"/>
      <c r="AX38" s="256"/>
      <c r="AY38" s="256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53"/>
      <c r="P39" s="253"/>
      <c r="Q39" s="253"/>
      <c r="R39" s="253"/>
      <c r="S39" s="254"/>
      <c r="T39" s="254"/>
      <c r="U39" s="254"/>
      <c r="V39" s="254"/>
      <c r="W39" s="255"/>
      <c r="X39" s="254"/>
      <c r="Y39" s="254"/>
      <c r="Z39" s="254"/>
      <c r="AA39" s="254"/>
      <c r="AB39" s="254"/>
      <c r="AC39" s="254"/>
      <c r="AD39" s="254"/>
      <c r="AE39" s="254"/>
      <c r="AF39" s="254"/>
      <c r="AG39" s="254"/>
      <c r="AH39" s="254"/>
      <c r="AI39" s="254"/>
      <c r="AJ39" s="254"/>
      <c r="AK39" s="254"/>
      <c r="AL39" s="255"/>
      <c r="AM39" s="254"/>
      <c r="AN39" s="254"/>
      <c r="AO39" s="254"/>
      <c r="AP39" s="254"/>
      <c r="AQ39" s="69"/>
      <c r="AR39" s="254"/>
      <c r="AS39" s="254"/>
      <c r="AT39" s="254"/>
      <c r="AU39" s="254"/>
      <c r="AV39" s="254"/>
      <c r="AW39" s="254"/>
      <c r="AX39" s="254"/>
      <c r="AY39" s="254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E19+E13</f>
        <v>2.01641791044776</v>
      </c>
      <c r="F41" s="1" t="s">
        <v>134</v>
      </c>
      <c r="G41" s="71" t="n">
        <f aca="false">E41*$M$2</f>
        <v>50.410447761194</v>
      </c>
      <c r="H41" s="28" t="n">
        <f aca="false">'APUS ARQUITECTURA'!J484</f>
        <v>15.625164</v>
      </c>
      <c r="I41" s="1" t="n">
        <f aca="false">G41*H41</f>
        <v>787.67151358209</v>
      </c>
      <c r="K41" s="82"/>
      <c r="O41" s="253"/>
      <c r="P41" s="253"/>
      <c r="Q41" s="253"/>
      <c r="R41" s="253"/>
      <c r="S41" s="254"/>
      <c r="T41" s="254"/>
      <c r="U41" s="254"/>
      <c r="V41" s="254"/>
      <c r="W41" s="255"/>
      <c r="X41" s="254"/>
      <c r="Y41" s="254"/>
      <c r="Z41" s="254"/>
      <c r="AA41" s="254"/>
      <c r="AB41" s="254"/>
      <c r="AC41" s="254"/>
      <c r="AD41" s="254"/>
      <c r="AE41" s="254"/>
      <c r="AF41" s="254"/>
      <c r="AG41" s="254"/>
      <c r="AH41" s="254"/>
      <c r="AI41" s="254"/>
      <c r="AJ41" s="254"/>
      <c r="AK41" s="254"/>
      <c r="AL41" s="255"/>
      <c r="AM41" s="254"/>
      <c r="AN41" s="254"/>
      <c r="AO41" s="254"/>
      <c r="AP41" s="254"/>
      <c r="AQ41" s="69"/>
      <c r="AR41" s="254"/>
      <c r="AS41" s="254"/>
      <c r="AT41" s="254"/>
      <c r="AU41" s="254"/>
      <c r="AV41" s="254"/>
      <c r="AW41" s="254"/>
      <c r="AX41" s="254"/>
      <c r="AY41" s="254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 t="n">
        <f aca="false">((((2.8+2.8+(2*6.95/2))*3.3))/60.3)-E35-E36</f>
        <v>0.496102819237148</v>
      </c>
      <c r="F42" s="109" t="s">
        <v>134</v>
      </c>
      <c r="G42" s="71" t="n">
        <f aca="false">E42*$M$2</f>
        <v>12.4025704809287</v>
      </c>
      <c r="H42" s="28" t="n">
        <f aca="false">'APUS ARQUITECTURA'!J504</f>
        <v>15.9562854545455</v>
      </c>
      <c r="I42" s="1" t="n">
        <f aca="false">G42*H42</f>
        <v>197.898954963817</v>
      </c>
      <c r="O42" s="253"/>
      <c r="P42" s="253"/>
      <c r="Q42" s="253"/>
      <c r="R42" s="253"/>
      <c r="S42" s="254"/>
      <c r="T42" s="254"/>
      <c r="U42" s="254"/>
      <c r="V42" s="254"/>
      <c r="W42" s="255"/>
      <c r="X42" s="254"/>
      <c r="Y42" s="254"/>
      <c r="Z42" s="254"/>
      <c r="AA42" s="254"/>
      <c r="AB42" s="254"/>
      <c r="AC42" s="254"/>
      <c r="AD42" s="254"/>
      <c r="AE42" s="254"/>
      <c r="AF42" s="254"/>
      <c r="AG42" s="254"/>
      <c r="AH42" s="254"/>
      <c r="AI42" s="254"/>
      <c r="AJ42" s="254"/>
      <c r="AK42" s="254"/>
      <c r="AL42" s="255"/>
      <c r="AM42" s="254"/>
      <c r="AN42" s="254"/>
      <c r="AO42" s="254"/>
      <c r="AP42" s="254"/>
      <c r="AQ42" s="69"/>
      <c r="AR42" s="254"/>
      <c r="AS42" s="254"/>
      <c r="AT42" s="254"/>
      <c r="AU42" s="254"/>
      <c r="AV42" s="254"/>
      <c r="AW42" s="254"/>
      <c r="AX42" s="254"/>
      <c r="AY42" s="254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53"/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53"/>
      <c r="P44" s="253"/>
      <c r="Q44" s="253"/>
      <c r="R44" s="253"/>
      <c r="S44" s="254"/>
      <c r="T44" s="254"/>
      <c r="U44" s="254"/>
      <c r="V44" s="254"/>
      <c r="W44" s="255"/>
      <c r="X44" s="254"/>
      <c r="Y44" s="254"/>
      <c r="Z44" s="254"/>
      <c r="AA44" s="254"/>
      <c r="AB44" s="254"/>
      <c r="AC44" s="254"/>
      <c r="AD44" s="254"/>
      <c r="AE44" s="254"/>
      <c r="AF44" s="254"/>
      <c r="AG44" s="254"/>
      <c r="AH44" s="254"/>
      <c r="AI44" s="254"/>
      <c r="AJ44" s="254"/>
      <c r="AK44" s="254"/>
      <c r="AL44" s="255"/>
      <c r="AM44" s="254"/>
      <c r="AN44" s="254"/>
      <c r="AO44" s="254"/>
      <c r="AP44" s="254"/>
      <c r="AQ44" s="69"/>
      <c r="AR44" s="254"/>
      <c r="AS44" s="254"/>
      <c r="AT44" s="254"/>
      <c r="AU44" s="254"/>
      <c r="AV44" s="254"/>
      <c r="AW44" s="254"/>
      <c r="AX44" s="254"/>
      <c r="AY44" s="254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53"/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53"/>
      <c r="P45" s="253"/>
      <c r="Q45" s="253"/>
      <c r="R45" s="253"/>
      <c r="S45" s="254"/>
      <c r="T45" s="254"/>
      <c r="U45" s="254"/>
      <c r="V45" s="254"/>
      <c r="W45" s="255"/>
      <c r="X45" s="254"/>
      <c r="Y45" s="254"/>
      <c r="Z45" s="254"/>
      <c r="AA45" s="254"/>
      <c r="AB45" s="254"/>
      <c r="AC45" s="254"/>
      <c r="AD45" s="254"/>
      <c r="AE45" s="254"/>
      <c r="AF45" s="254"/>
      <c r="AG45" s="254"/>
      <c r="AH45" s="254"/>
      <c r="AI45" s="254"/>
      <c r="AJ45" s="254"/>
      <c r="AK45" s="254"/>
      <c r="AL45" s="255"/>
      <c r="AM45" s="254"/>
      <c r="AN45" s="254"/>
      <c r="AO45" s="254"/>
      <c r="AP45" s="254"/>
      <c r="AQ45" s="69"/>
      <c r="AR45" s="254"/>
      <c r="AS45" s="254"/>
      <c r="AT45" s="254"/>
      <c r="AU45" s="254"/>
      <c r="AV45" s="254"/>
      <c r="AW45" s="254"/>
      <c r="AX45" s="254"/>
      <c r="AY45" s="254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53"/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53"/>
      <c r="P46" s="253"/>
      <c r="Q46" s="253"/>
      <c r="R46" s="253"/>
      <c r="S46" s="254"/>
      <c r="T46" s="254"/>
      <c r="U46" s="254"/>
      <c r="V46" s="254"/>
      <c r="W46" s="255"/>
      <c r="X46" s="254"/>
      <c r="Y46" s="254"/>
      <c r="Z46" s="254"/>
      <c r="AA46" s="254"/>
      <c r="AB46" s="254"/>
      <c r="AC46" s="254"/>
      <c r="AD46" s="254"/>
      <c r="AE46" s="254"/>
      <c r="AF46" s="254"/>
      <c r="AG46" s="254"/>
      <c r="AH46" s="254"/>
      <c r="AI46" s="254"/>
      <c r="AJ46" s="254"/>
      <c r="AK46" s="254"/>
      <c r="AL46" s="255"/>
      <c r="AM46" s="254"/>
      <c r="AN46" s="254"/>
      <c r="AO46" s="254"/>
      <c r="AP46" s="254"/>
      <c r="AQ46" s="69"/>
      <c r="AR46" s="254"/>
      <c r="AS46" s="254"/>
      <c r="AT46" s="254"/>
      <c r="AU46" s="254"/>
      <c r="AV46" s="254"/>
      <c r="AW46" s="254"/>
      <c r="AX46" s="254"/>
      <c r="AY46" s="254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53"/>
      <c r="P47" s="253"/>
      <c r="Q47" s="253"/>
      <c r="R47" s="253"/>
      <c r="S47" s="254"/>
      <c r="T47" s="254"/>
      <c r="U47" s="254"/>
      <c r="V47" s="254"/>
      <c r="W47" s="255"/>
      <c r="X47" s="254"/>
      <c r="Y47" s="254"/>
      <c r="Z47" s="254"/>
      <c r="AA47" s="254"/>
      <c r="AB47" s="254"/>
      <c r="AC47" s="254"/>
      <c r="AD47" s="254"/>
      <c r="AE47" s="254"/>
      <c r="AF47" s="254"/>
      <c r="AG47" s="254"/>
      <c r="AH47" s="254"/>
      <c r="AI47" s="254"/>
      <c r="AJ47" s="254"/>
      <c r="AK47" s="254"/>
      <c r="AL47" s="255"/>
      <c r="AM47" s="254"/>
      <c r="AN47" s="254"/>
      <c r="AO47" s="254"/>
      <c r="AP47" s="254"/>
      <c r="AQ47" s="69"/>
      <c r="AR47" s="254"/>
      <c r="AS47" s="254"/>
      <c r="AT47" s="254"/>
      <c r="AU47" s="254"/>
      <c r="AV47" s="254"/>
      <c r="AW47" s="254"/>
      <c r="AX47" s="254"/>
      <c r="AY47" s="254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53"/>
      <c r="P48" s="253"/>
      <c r="Q48" s="253"/>
      <c r="R48" s="253"/>
      <c r="S48" s="254"/>
      <c r="T48" s="254"/>
      <c r="U48" s="254"/>
      <c r="V48" s="254"/>
      <c r="W48" s="255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5"/>
      <c r="AM48" s="254"/>
      <c r="AN48" s="254"/>
      <c r="AO48" s="254"/>
      <c r="AP48" s="254"/>
      <c r="AQ48" s="69"/>
      <c r="AR48" s="254"/>
      <c r="AS48" s="254"/>
      <c r="AT48" s="254"/>
      <c r="AU48" s="254"/>
      <c r="AV48" s="254"/>
      <c r="AW48" s="254"/>
      <c r="AX48" s="254"/>
      <c r="AY48" s="254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53"/>
      <c r="P49" s="253"/>
      <c r="Q49" s="253"/>
      <c r="R49" s="253"/>
      <c r="S49" s="254"/>
      <c r="T49" s="254"/>
      <c r="U49" s="254"/>
      <c r="V49" s="254"/>
      <c r="W49" s="265"/>
      <c r="X49" s="254"/>
      <c r="Y49" s="254"/>
      <c r="Z49" s="254"/>
      <c r="AA49" s="254"/>
      <c r="AB49" s="254"/>
      <c r="AC49" s="254"/>
      <c r="AD49" s="254"/>
      <c r="AE49" s="254"/>
      <c r="AF49" s="254"/>
      <c r="AG49" s="254"/>
      <c r="AH49" s="254"/>
      <c r="AI49" s="254"/>
      <c r="AJ49" s="254"/>
      <c r="AK49" s="254"/>
      <c r="AL49" s="255"/>
      <c r="AM49" s="254"/>
      <c r="AN49" s="254"/>
      <c r="AO49" s="254"/>
      <c r="AP49" s="254"/>
      <c r="AQ49" s="69"/>
      <c r="AR49" s="254"/>
      <c r="AS49" s="254"/>
      <c r="AT49" s="254"/>
      <c r="AU49" s="254"/>
      <c r="AV49" s="254"/>
      <c r="AW49" s="254"/>
      <c r="AX49" s="254"/>
      <c r="AY49" s="254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53"/>
      <c r="P50" s="253"/>
      <c r="Q50" s="253"/>
      <c r="R50" s="253"/>
      <c r="S50" s="254"/>
      <c r="T50" s="254"/>
      <c r="U50" s="254"/>
      <c r="V50" s="254"/>
      <c r="W50" s="265"/>
      <c r="X50" s="254"/>
      <c r="Y50" s="254"/>
      <c r="Z50" s="254"/>
      <c r="AA50" s="254"/>
      <c r="AB50" s="254"/>
      <c r="AC50" s="254"/>
      <c r="AD50" s="254"/>
      <c r="AE50" s="254"/>
      <c r="AF50" s="254"/>
      <c r="AG50" s="254"/>
      <c r="AH50" s="254"/>
      <c r="AI50" s="254"/>
      <c r="AJ50" s="254"/>
      <c r="AK50" s="254"/>
      <c r="AL50" s="255"/>
      <c r="AM50" s="254"/>
      <c r="AN50" s="254"/>
      <c r="AO50" s="254"/>
      <c r="AP50" s="254"/>
      <c r="AQ50" s="69"/>
      <c r="AR50" s="254"/>
      <c r="AS50" s="254"/>
      <c r="AT50" s="254"/>
      <c r="AU50" s="254"/>
      <c r="AV50" s="254"/>
      <c r="AW50" s="254"/>
      <c r="AX50" s="254"/>
      <c r="AY50" s="254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53"/>
      <c r="P51" s="253"/>
      <c r="Q51" s="253"/>
      <c r="R51" s="253"/>
      <c r="S51" s="254"/>
      <c r="T51" s="254"/>
      <c r="U51" s="254"/>
      <c r="V51" s="254"/>
      <c r="W51" s="265"/>
      <c r="X51" s="254"/>
      <c r="Y51" s="254"/>
      <c r="Z51" s="254"/>
      <c r="AA51" s="254"/>
      <c r="AB51" s="254"/>
      <c r="AC51" s="254"/>
      <c r="AD51" s="254"/>
      <c r="AE51" s="254"/>
      <c r="AF51" s="254"/>
      <c r="AG51" s="254"/>
      <c r="AH51" s="254"/>
      <c r="AI51" s="254"/>
      <c r="AJ51" s="254"/>
      <c r="AK51" s="254"/>
      <c r="AL51" s="255"/>
      <c r="AM51" s="254"/>
      <c r="AN51" s="254"/>
      <c r="AO51" s="254"/>
      <c r="AP51" s="254"/>
      <c r="AQ51" s="69"/>
      <c r="AR51" s="254"/>
      <c r="AS51" s="254"/>
      <c r="AT51" s="254"/>
      <c r="AU51" s="254"/>
      <c r="AV51" s="254"/>
      <c r="AW51" s="254"/>
      <c r="AX51" s="254"/>
      <c r="AY51" s="254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2.4</v>
      </c>
      <c r="H52" s="28" t="n">
        <f aca="false">'APUS SANITARIAS'!J91</f>
        <v>158.148033208747</v>
      </c>
      <c r="I52" s="1" t="n">
        <f aca="false">G52*H52</f>
        <v>379.555279700992</v>
      </c>
      <c r="O52" s="253"/>
      <c r="P52" s="253"/>
      <c r="Q52" s="253"/>
      <c r="R52" s="253"/>
      <c r="S52" s="254"/>
      <c r="T52" s="254"/>
      <c r="U52" s="254"/>
      <c r="V52" s="254"/>
      <c r="W52" s="254"/>
      <c r="X52" s="254"/>
      <c r="Y52" s="254"/>
      <c r="Z52" s="254"/>
      <c r="AA52" s="254"/>
      <c r="AB52" s="254"/>
      <c r="AC52" s="254"/>
      <c r="AD52" s="254"/>
      <c r="AE52" s="254"/>
      <c r="AF52" s="254"/>
      <c r="AG52" s="254"/>
      <c r="AH52" s="254"/>
      <c r="AI52" s="254"/>
      <c r="AJ52" s="254"/>
      <c r="AK52" s="254"/>
      <c r="AL52" s="254"/>
      <c r="AM52" s="254"/>
      <c r="AN52" s="254"/>
      <c r="AO52" s="254"/>
      <c r="AP52" s="254"/>
      <c r="AQ52" s="69"/>
      <c r="AR52" s="254"/>
      <c r="AS52" s="254"/>
      <c r="AT52" s="254"/>
      <c r="AU52" s="254"/>
      <c r="AV52" s="254"/>
      <c r="AW52" s="254"/>
      <c r="AX52" s="254"/>
      <c r="AY52" s="254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/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53"/>
      <c r="P53" s="253"/>
      <c r="Q53" s="253"/>
      <c r="R53" s="253"/>
      <c r="S53" s="254"/>
      <c r="T53" s="254"/>
      <c r="U53" s="254"/>
      <c r="V53" s="254"/>
      <c r="W53" s="255"/>
      <c r="X53" s="254"/>
      <c r="Y53" s="254"/>
      <c r="Z53" s="254"/>
      <c r="AA53" s="254"/>
      <c r="AB53" s="254"/>
      <c r="AC53" s="254"/>
      <c r="AD53" s="254"/>
      <c r="AE53" s="254"/>
      <c r="AF53" s="254"/>
      <c r="AG53" s="254"/>
      <c r="AH53" s="254"/>
      <c r="AI53" s="254"/>
      <c r="AJ53" s="254"/>
      <c r="AK53" s="254"/>
      <c r="AL53" s="255"/>
      <c r="AM53" s="254"/>
      <c r="AN53" s="254"/>
      <c r="AO53" s="254"/>
      <c r="AP53" s="254"/>
      <c r="AQ53" s="69"/>
      <c r="AR53" s="254"/>
      <c r="AS53" s="254"/>
      <c r="AT53" s="254"/>
      <c r="AU53" s="254"/>
      <c r="AV53" s="254"/>
      <c r="AW53" s="254"/>
      <c r="AX53" s="254"/>
      <c r="AY53" s="254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/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53"/>
      <c r="P54" s="253"/>
      <c r="Q54" s="253"/>
      <c r="R54" s="253"/>
      <c r="S54" s="254"/>
      <c r="T54" s="254"/>
      <c r="U54" s="254"/>
      <c r="V54" s="254"/>
      <c r="W54" s="255"/>
      <c r="X54" s="254"/>
      <c r="Y54" s="254"/>
      <c r="Z54" s="254"/>
      <c r="AA54" s="254"/>
      <c r="AB54" s="254"/>
      <c r="AC54" s="254"/>
      <c r="AD54" s="254"/>
      <c r="AE54" s="254"/>
      <c r="AF54" s="254"/>
      <c r="AG54" s="254"/>
      <c r="AH54" s="254"/>
      <c r="AI54" s="254"/>
      <c r="AJ54" s="254"/>
      <c r="AK54" s="254"/>
      <c r="AL54" s="255"/>
      <c r="AM54" s="254"/>
      <c r="AN54" s="254"/>
      <c r="AO54" s="254"/>
      <c r="AP54" s="254"/>
      <c r="AQ54" s="69"/>
      <c r="AR54" s="254"/>
      <c r="AS54" s="254"/>
      <c r="AT54" s="254"/>
      <c r="AU54" s="254"/>
      <c r="AV54" s="254"/>
      <c r="AW54" s="254"/>
      <c r="AX54" s="254"/>
      <c r="AY54" s="254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/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53"/>
      <c r="P55" s="253"/>
      <c r="Q55" s="253"/>
      <c r="R55" s="253"/>
      <c r="S55" s="254"/>
      <c r="T55" s="254"/>
      <c r="U55" s="254"/>
      <c r="V55" s="254"/>
      <c r="W55" s="255"/>
      <c r="X55" s="254"/>
      <c r="Y55" s="254"/>
      <c r="Z55" s="254"/>
      <c r="AA55" s="254"/>
      <c r="AB55" s="254"/>
      <c r="AC55" s="254"/>
      <c r="AD55" s="254"/>
      <c r="AE55" s="254"/>
      <c r="AF55" s="254"/>
      <c r="AG55" s="254"/>
      <c r="AH55" s="254"/>
      <c r="AI55" s="254"/>
      <c r="AJ55" s="254"/>
      <c r="AK55" s="254"/>
      <c r="AL55" s="255"/>
      <c r="AM55" s="254"/>
      <c r="AN55" s="254"/>
      <c r="AO55" s="254"/>
      <c r="AP55" s="254"/>
      <c r="AQ55" s="69"/>
      <c r="AR55" s="254"/>
      <c r="AS55" s="254"/>
      <c r="AT55" s="254"/>
      <c r="AU55" s="254"/>
      <c r="AV55" s="254"/>
      <c r="AW55" s="254"/>
      <c r="AX55" s="254"/>
      <c r="AY55" s="254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53"/>
      <c r="P56" s="253"/>
      <c r="Q56" s="253"/>
      <c r="R56" s="253"/>
      <c r="S56" s="254"/>
      <c r="T56" s="254"/>
      <c r="U56" s="254"/>
      <c r="V56" s="254"/>
      <c r="W56" s="255"/>
      <c r="X56" s="254"/>
      <c r="Y56" s="254"/>
      <c r="Z56" s="254"/>
      <c r="AA56" s="254"/>
      <c r="AB56" s="254"/>
      <c r="AC56" s="254"/>
      <c r="AD56" s="254"/>
      <c r="AE56" s="254"/>
      <c r="AF56" s="254"/>
      <c r="AG56" s="254"/>
      <c r="AH56" s="254"/>
      <c r="AI56" s="254"/>
      <c r="AJ56" s="254"/>
      <c r="AK56" s="254"/>
      <c r="AL56" s="255"/>
      <c r="AM56" s="254"/>
      <c r="AN56" s="254"/>
      <c r="AO56" s="254"/>
      <c r="AP56" s="254"/>
      <c r="AQ56" s="69"/>
      <c r="AR56" s="254"/>
      <c r="AS56" s="254"/>
      <c r="AT56" s="254"/>
      <c r="AU56" s="254"/>
      <c r="AV56" s="254"/>
      <c r="AW56" s="254"/>
      <c r="AX56" s="254"/>
      <c r="AY56" s="254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53"/>
      <c r="P57" s="253"/>
      <c r="Q57" s="253"/>
      <c r="R57" s="253"/>
      <c r="S57" s="254"/>
      <c r="T57" s="254"/>
      <c r="U57" s="254"/>
      <c r="V57" s="254"/>
      <c r="W57" s="255"/>
      <c r="X57" s="254"/>
      <c r="Y57" s="254"/>
      <c r="Z57" s="254"/>
      <c r="AA57" s="254"/>
      <c r="AB57" s="254"/>
      <c r="AC57" s="254"/>
      <c r="AD57" s="254"/>
      <c r="AE57" s="254"/>
      <c r="AF57" s="254"/>
      <c r="AG57" s="254"/>
      <c r="AH57" s="254"/>
      <c r="AI57" s="254"/>
      <c r="AJ57" s="254"/>
      <c r="AK57" s="254"/>
      <c r="AL57" s="255"/>
      <c r="AM57" s="254"/>
      <c r="AN57" s="254"/>
      <c r="AO57" s="254"/>
      <c r="AP57" s="254"/>
      <c r="AQ57" s="69"/>
      <c r="AR57" s="254"/>
      <c r="AS57" s="254"/>
      <c r="AT57" s="254"/>
      <c r="AU57" s="254"/>
      <c r="AV57" s="254"/>
      <c r="AW57" s="254"/>
      <c r="AX57" s="254"/>
      <c r="AY57" s="254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23/60.3</f>
        <v>0.381426202321725</v>
      </c>
      <c r="F59" s="1" t="s">
        <v>215</v>
      </c>
      <c r="G59" s="71" t="n">
        <f aca="false">E59*$M$2</f>
        <v>9.53565505804312</v>
      </c>
      <c r="H59" s="28" t="n">
        <f aca="false">'APUS ELECTRICAS'!J5</f>
        <v>121.043104</v>
      </c>
      <c r="I59" s="1" t="n">
        <f aca="false">G59*H59</f>
        <v>1154.22528689884</v>
      </c>
      <c r="O59" s="253"/>
      <c r="P59" s="253"/>
      <c r="Q59" s="253"/>
      <c r="R59" s="253"/>
      <c r="S59" s="254"/>
      <c r="T59" s="254"/>
      <c r="U59" s="254"/>
      <c r="V59" s="254"/>
      <c r="W59" s="255"/>
      <c r="X59" s="254"/>
      <c r="Y59" s="254"/>
      <c r="Z59" s="254"/>
      <c r="AA59" s="254"/>
      <c r="AB59" s="254"/>
      <c r="AC59" s="254"/>
      <c r="AD59" s="254"/>
      <c r="AE59" s="254"/>
      <c r="AF59" s="254"/>
      <c r="AG59" s="254"/>
      <c r="AH59" s="254"/>
      <c r="AI59" s="254"/>
      <c r="AJ59" s="254"/>
      <c r="AK59" s="254"/>
      <c r="AL59" s="255"/>
      <c r="AM59" s="254"/>
      <c r="AN59" s="254"/>
      <c r="AO59" s="254"/>
      <c r="AP59" s="254"/>
      <c r="AQ59" s="69"/>
      <c r="AR59" s="254"/>
      <c r="AS59" s="254"/>
      <c r="AT59" s="254"/>
      <c r="AU59" s="254"/>
      <c r="AV59" s="254"/>
      <c r="AW59" s="254"/>
      <c r="AX59" s="254"/>
      <c r="AY59" s="254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23/60.3</f>
        <v>0.381426202321725</v>
      </c>
      <c r="F60" s="1" t="s">
        <v>215</v>
      </c>
      <c r="G60" s="71" t="n">
        <f aca="false">E60*$M$2</f>
        <v>9.53565505804312</v>
      </c>
      <c r="H60" s="28" t="n">
        <f aca="false">'APUS ELECTRICAS'!J26</f>
        <v>163.73838</v>
      </c>
      <c r="I60" s="1" t="n">
        <f aca="false">G60*H60</f>
        <v>1561.35271144279</v>
      </c>
      <c r="O60" s="253"/>
      <c r="P60" s="253"/>
      <c r="Q60" s="253"/>
      <c r="R60" s="253"/>
      <c r="S60" s="254"/>
      <c r="T60" s="254"/>
      <c r="U60" s="254"/>
      <c r="V60" s="254"/>
      <c r="W60" s="255"/>
      <c r="X60" s="254"/>
      <c r="Y60" s="254"/>
      <c r="Z60" s="254"/>
      <c r="AA60" s="254"/>
      <c r="AB60" s="254"/>
      <c r="AC60" s="254"/>
      <c r="AD60" s="254"/>
      <c r="AE60" s="254"/>
      <c r="AF60" s="254"/>
      <c r="AG60" s="254"/>
      <c r="AH60" s="254"/>
      <c r="AI60" s="254"/>
      <c r="AJ60" s="254"/>
      <c r="AK60" s="254"/>
      <c r="AL60" s="255"/>
      <c r="AM60" s="254"/>
      <c r="AN60" s="254"/>
      <c r="AO60" s="254"/>
      <c r="AP60" s="254"/>
      <c r="AQ60" s="69"/>
      <c r="AR60" s="254"/>
      <c r="AS60" s="254"/>
      <c r="AT60" s="254"/>
      <c r="AU60" s="254"/>
      <c r="AV60" s="254"/>
      <c r="AW60" s="254"/>
      <c r="AX60" s="254"/>
      <c r="AY60" s="254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23/60.3</f>
        <v>0.381426202321725</v>
      </c>
      <c r="F61" s="1" t="s">
        <v>215</v>
      </c>
      <c r="G61" s="71" t="n">
        <f aca="false">E61*$M$2</f>
        <v>9.53565505804312</v>
      </c>
      <c r="H61" s="28" t="n">
        <f aca="false">'APUS ELECTRICAS'!J48</f>
        <v>118.3069</v>
      </c>
      <c r="I61" s="1" t="n">
        <f aca="false">G61*H61</f>
        <v>1128.1337893864</v>
      </c>
      <c r="O61" s="253"/>
      <c r="P61" s="253"/>
      <c r="Q61" s="253"/>
      <c r="R61" s="253"/>
      <c r="S61" s="254"/>
      <c r="T61" s="254"/>
      <c r="U61" s="254"/>
      <c r="V61" s="254"/>
      <c r="W61" s="255"/>
      <c r="X61" s="254"/>
      <c r="Y61" s="254"/>
      <c r="Z61" s="254"/>
      <c r="AA61" s="254"/>
      <c r="AB61" s="254"/>
      <c r="AC61" s="254"/>
      <c r="AD61" s="254"/>
      <c r="AE61" s="254"/>
      <c r="AF61" s="254"/>
      <c r="AG61" s="254"/>
      <c r="AH61" s="254"/>
      <c r="AI61" s="254"/>
      <c r="AJ61" s="254"/>
      <c r="AK61" s="254"/>
      <c r="AL61" s="255"/>
      <c r="AM61" s="254"/>
      <c r="AN61" s="254"/>
      <c r="AO61" s="254"/>
      <c r="AP61" s="254"/>
      <c r="AQ61" s="69"/>
      <c r="AR61" s="254"/>
      <c r="AS61" s="254"/>
      <c r="AT61" s="254"/>
      <c r="AU61" s="254"/>
      <c r="AV61" s="254"/>
      <c r="AW61" s="254"/>
      <c r="AX61" s="254"/>
      <c r="AY61" s="254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53"/>
      <c r="P62" s="253"/>
      <c r="Q62" s="253"/>
      <c r="R62" s="253"/>
      <c r="S62" s="254"/>
      <c r="T62" s="254"/>
      <c r="U62" s="254"/>
      <c r="V62" s="254"/>
      <c r="W62" s="255"/>
      <c r="X62" s="254"/>
      <c r="Y62" s="254"/>
      <c r="Z62" s="254"/>
      <c r="AA62" s="254"/>
      <c r="AB62" s="254"/>
      <c r="AC62" s="254"/>
      <c r="AD62" s="254"/>
      <c r="AE62" s="254"/>
      <c r="AF62" s="254"/>
      <c r="AG62" s="254"/>
      <c r="AH62" s="254"/>
      <c r="AI62" s="254"/>
      <c r="AJ62" s="254"/>
      <c r="AK62" s="254"/>
      <c r="AL62" s="255"/>
      <c r="AM62" s="254"/>
      <c r="AN62" s="254"/>
      <c r="AO62" s="254"/>
      <c r="AP62" s="254"/>
      <c r="AQ62" s="69"/>
      <c r="AR62" s="254"/>
      <c r="AS62" s="254"/>
      <c r="AT62" s="254"/>
      <c r="AU62" s="254"/>
      <c r="AV62" s="254"/>
      <c r="AW62" s="254"/>
      <c r="AX62" s="254"/>
      <c r="AY62" s="254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6/62.5</f>
        <v>0.096</v>
      </c>
      <c r="F64" s="1" t="s">
        <v>150</v>
      </c>
      <c r="G64" s="71" t="n">
        <f aca="false">E64*$M$2</f>
        <v>2.4</v>
      </c>
      <c r="H64" s="28" t="n">
        <f aca="false">'APUS ELECTRICAS'!J74</f>
        <v>396.145032</v>
      </c>
      <c r="I64" s="1" t="n">
        <f aca="false">G64*H64</f>
        <v>950.7480768</v>
      </c>
      <c r="O64" s="253"/>
      <c r="P64" s="253"/>
      <c r="Q64" s="253"/>
      <c r="R64" s="253"/>
      <c r="S64" s="254"/>
      <c r="T64" s="254"/>
      <c r="U64" s="254"/>
      <c r="V64" s="254"/>
      <c r="W64" s="255"/>
      <c r="X64" s="254"/>
      <c r="Y64" s="254"/>
      <c r="Z64" s="254"/>
      <c r="AA64" s="254"/>
      <c r="AB64" s="254"/>
      <c r="AC64" s="254"/>
      <c r="AD64" s="254"/>
      <c r="AE64" s="254"/>
      <c r="AF64" s="254"/>
      <c r="AG64" s="254"/>
      <c r="AH64" s="254"/>
      <c r="AI64" s="254"/>
      <c r="AJ64" s="254"/>
      <c r="AK64" s="254"/>
      <c r="AL64" s="255"/>
      <c r="AM64" s="254"/>
      <c r="AN64" s="254"/>
      <c r="AO64" s="254"/>
      <c r="AP64" s="254"/>
      <c r="AQ64" s="69"/>
      <c r="AR64" s="254"/>
      <c r="AS64" s="254"/>
      <c r="AT64" s="254"/>
      <c r="AU64" s="254"/>
      <c r="AV64" s="254"/>
      <c r="AW64" s="254"/>
      <c r="AX64" s="254"/>
      <c r="AY64" s="254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6/62.5</f>
        <v>0.096</v>
      </c>
      <c r="F65" s="1" t="s">
        <v>150</v>
      </c>
      <c r="G65" s="71" t="n">
        <f aca="false">E65*$M$2</f>
        <v>2.4</v>
      </c>
      <c r="H65" s="28" t="n">
        <f aca="false">'APUS ELECTRICAS'!J88</f>
        <v>105.9636</v>
      </c>
      <c r="I65" s="1" t="n">
        <f aca="false">G65*H65</f>
        <v>254.31264</v>
      </c>
      <c r="O65" s="253"/>
      <c r="P65" s="253"/>
      <c r="Q65" s="253"/>
      <c r="R65" s="253"/>
      <c r="S65" s="254"/>
      <c r="T65" s="254"/>
      <c r="U65" s="254"/>
      <c r="V65" s="254"/>
      <c r="W65" s="255"/>
      <c r="X65" s="254"/>
      <c r="Y65" s="254"/>
      <c r="Z65" s="254"/>
      <c r="AA65" s="254"/>
      <c r="AB65" s="254"/>
      <c r="AC65" s="254"/>
      <c r="AD65" s="254"/>
      <c r="AE65" s="254"/>
      <c r="AF65" s="254"/>
      <c r="AG65" s="254"/>
      <c r="AH65" s="254"/>
      <c r="AI65" s="254"/>
      <c r="AJ65" s="254"/>
      <c r="AK65" s="254"/>
      <c r="AL65" s="255"/>
      <c r="AM65" s="254"/>
      <c r="AN65" s="254"/>
      <c r="AO65" s="254"/>
      <c r="AP65" s="254"/>
      <c r="AQ65" s="69"/>
      <c r="AR65" s="254"/>
      <c r="AS65" s="254"/>
      <c r="AT65" s="254"/>
      <c r="AU65" s="254"/>
      <c r="AV65" s="254"/>
      <c r="AW65" s="254"/>
      <c r="AX65" s="254"/>
      <c r="AY65" s="254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53"/>
      <c r="P66" s="253"/>
      <c r="Q66" s="253"/>
      <c r="R66" s="253"/>
      <c r="S66" s="254"/>
      <c r="T66" s="254"/>
      <c r="U66" s="254"/>
      <c r="V66" s="254"/>
      <c r="W66" s="255"/>
      <c r="X66" s="254"/>
      <c r="Y66" s="254"/>
      <c r="Z66" s="254"/>
      <c r="AA66" s="254"/>
      <c r="AB66" s="254"/>
      <c r="AC66" s="254"/>
      <c r="AD66" s="254"/>
      <c r="AE66" s="254"/>
      <c r="AF66" s="254"/>
      <c r="AG66" s="254"/>
      <c r="AH66" s="254"/>
      <c r="AI66" s="254"/>
      <c r="AJ66" s="254"/>
      <c r="AK66" s="254"/>
      <c r="AL66" s="255"/>
      <c r="AM66" s="254"/>
      <c r="AN66" s="254"/>
      <c r="AO66" s="254"/>
      <c r="AP66" s="254"/>
      <c r="AQ66" s="69"/>
      <c r="AR66" s="254"/>
      <c r="AS66" s="254"/>
      <c r="AT66" s="254"/>
      <c r="AU66" s="254"/>
      <c r="AV66" s="254"/>
      <c r="AW66" s="254"/>
      <c r="AX66" s="254"/>
      <c r="AY66" s="254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53"/>
      <c r="P67" s="253"/>
      <c r="Q67" s="253"/>
      <c r="R67" s="253"/>
      <c r="S67" s="254"/>
      <c r="T67" s="254"/>
      <c r="U67" s="254"/>
      <c r="V67" s="254"/>
      <c r="W67" s="255"/>
      <c r="X67" s="254"/>
      <c r="Y67" s="254"/>
      <c r="Z67" s="254"/>
      <c r="AA67" s="254"/>
      <c r="AB67" s="254"/>
      <c r="AC67" s="254"/>
      <c r="AD67" s="254"/>
      <c r="AE67" s="254"/>
      <c r="AF67" s="254"/>
      <c r="AG67" s="254"/>
      <c r="AH67" s="254"/>
      <c r="AI67" s="254"/>
      <c r="AJ67" s="254"/>
      <c r="AK67" s="254"/>
      <c r="AL67" s="255"/>
      <c r="AM67" s="254"/>
      <c r="AN67" s="254"/>
      <c r="AO67" s="254"/>
      <c r="AP67" s="254"/>
      <c r="AQ67" s="69"/>
      <c r="AR67" s="254"/>
      <c r="AS67" s="254"/>
      <c r="AT67" s="254"/>
      <c r="AU67" s="254"/>
      <c r="AV67" s="254"/>
      <c r="AW67" s="254"/>
      <c r="AX67" s="254"/>
      <c r="AY67" s="254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53"/>
      <c r="P68" s="253"/>
      <c r="Q68" s="253"/>
      <c r="R68" s="253"/>
      <c r="S68" s="254"/>
      <c r="T68" s="254"/>
      <c r="U68" s="254"/>
      <c r="V68" s="254"/>
      <c r="W68" s="254"/>
      <c r="X68" s="254"/>
      <c r="Y68" s="254"/>
      <c r="Z68" s="254"/>
      <c r="AA68" s="254"/>
      <c r="AB68" s="254"/>
      <c r="AC68" s="254"/>
      <c r="AD68" s="254"/>
      <c r="AE68" s="254"/>
      <c r="AF68" s="254"/>
      <c r="AG68" s="254"/>
      <c r="AH68" s="254"/>
      <c r="AI68" s="254"/>
      <c r="AJ68" s="254"/>
      <c r="AK68" s="254"/>
      <c r="AL68" s="254"/>
      <c r="AM68" s="254"/>
      <c r="AN68" s="254"/>
      <c r="AO68" s="254"/>
      <c r="AP68" s="254"/>
      <c r="AQ68" s="69"/>
      <c r="AR68" s="254"/>
      <c r="AS68" s="254"/>
      <c r="AT68" s="254"/>
      <c r="AU68" s="254"/>
      <c r="AV68" s="254"/>
      <c r="AW68" s="254"/>
      <c r="AX68" s="254"/>
      <c r="AY68" s="254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53"/>
      <c r="P69" s="253"/>
      <c r="Q69" s="253"/>
      <c r="R69" s="253"/>
      <c r="S69" s="254"/>
      <c r="T69" s="254"/>
      <c r="U69" s="254"/>
      <c r="V69" s="254"/>
      <c r="W69" s="254"/>
      <c r="X69" s="254"/>
      <c r="Y69" s="254"/>
      <c r="Z69" s="254"/>
      <c r="AA69" s="254"/>
      <c r="AB69" s="254"/>
      <c r="AC69" s="254"/>
      <c r="AD69" s="254"/>
      <c r="AE69" s="254"/>
      <c r="AF69" s="254"/>
      <c r="AG69" s="254"/>
      <c r="AH69" s="254"/>
      <c r="AI69" s="254"/>
      <c r="AJ69" s="254"/>
      <c r="AK69" s="254"/>
      <c r="AL69" s="254"/>
      <c r="AM69" s="254"/>
      <c r="AN69" s="254"/>
      <c r="AO69" s="254"/>
      <c r="AP69" s="254"/>
      <c r="AQ69" s="69"/>
      <c r="AR69" s="254"/>
      <c r="AS69" s="254"/>
      <c r="AT69" s="254"/>
      <c r="AU69" s="254"/>
      <c r="AV69" s="254"/>
      <c r="AW69" s="254"/>
      <c r="AX69" s="254"/>
      <c r="AY69" s="254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1100</v>
      </c>
      <c r="G70" s="71"/>
      <c r="H70" s="28"/>
      <c r="O70" s="253"/>
      <c r="P70" s="253"/>
      <c r="Q70" s="253"/>
      <c r="R70" s="253"/>
      <c r="S70" s="254"/>
      <c r="T70" s="254"/>
      <c r="U70" s="254"/>
      <c r="V70" s="254"/>
      <c r="W70" s="254"/>
      <c r="X70" s="254"/>
      <c r="Y70" s="254"/>
      <c r="Z70" s="254"/>
      <c r="AA70" s="254"/>
      <c r="AB70" s="254"/>
      <c r="AC70" s="254"/>
      <c r="AD70" s="254"/>
      <c r="AE70" s="254"/>
      <c r="AF70" s="254"/>
      <c r="AG70" s="254"/>
      <c r="AH70" s="254"/>
      <c r="AI70" s="254"/>
      <c r="AJ70" s="254"/>
      <c r="AK70" s="254"/>
      <c r="AL70" s="254"/>
      <c r="AM70" s="254"/>
      <c r="AN70" s="254"/>
      <c r="AO70" s="254"/>
      <c r="AP70" s="254"/>
      <c r="AQ70" s="69"/>
      <c r="AR70" s="254"/>
      <c r="AS70" s="254"/>
      <c r="AT70" s="254"/>
      <c r="AU70" s="254"/>
      <c r="AV70" s="254"/>
      <c r="AW70" s="254"/>
      <c r="AX70" s="254"/>
      <c r="AY70" s="254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1101</v>
      </c>
      <c r="O71" s="253"/>
      <c r="P71" s="253"/>
      <c r="Q71" s="253"/>
      <c r="R71" s="253"/>
      <c r="S71" s="254"/>
      <c r="T71" s="254"/>
      <c r="U71" s="254"/>
      <c r="V71" s="254"/>
      <c r="W71" s="254"/>
      <c r="X71" s="254"/>
      <c r="Y71" s="254"/>
      <c r="Z71" s="254"/>
      <c r="AA71" s="254"/>
      <c r="AB71" s="254"/>
      <c r="AC71" s="254"/>
      <c r="AD71" s="254"/>
      <c r="AE71" s="254"/>
      <c r="AF71" s="254"/>
      <c r="AG71" s="254"/>
      <c r="AH71" s="254"/>
      <c r="AI71" s="254"/>
      <c r="AJ71" s="254"/>
      <c r="AK71" s="254"/>
      <c r="AL71" s="254"/>
      <c r="AM71" s="254"/>
      <c r="AN71" s="254"/>
      <c r="AO71" s="254"/>
      <c r="AP71" s="254"/>
      <c r="AQ71" s="69"/>
      <c r="AR71" s="254"/>
      <c r="AS71" s="254"/>
      <c r="AT71" s="254"/>
      <c r="AU71" s="254"/>
      <c r="AV71" s="254"/>
      <c r="AW71" s="254"/>
      <c r="AX71" s="254"/>
      <c r="AY71" s="254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0.324232081911263</v>
      </c>
      <c r="H72" s="152" t="n">
        <f aca="false">'APUS COMUNICACIONES'!J5</f>
        <v>279.8531</v>
      </c>
      <c r="I72" s="1" t="n">
        <f aca="false">G72*H72</f>
        <v>90.7373532423208</v>
      </c>
      <c r="O72" s="253"/>
      <c r="P72" s="253"/>
      <c r="Q72" s="253"/>
      <c r="R72" s="253"/>
      <c r="S72" s="254"/>
      <c r="T72" s="254"/>
      <c r="U72" s="254"/>
      <c r="V72" s="254"/>
      <c r="W72" s="254"/>
      <c r="X72" s="254"/>
      <c r="Y72" s="254"/>
      <c r="Z72" s="254"/>
      <c r="AA72" s="254"/>
      <c r="AB72" s="254"/>
      <c r="AC72" s="254"/>
      <c r="AD72" s="254"/>
      <c r="AE72" s="254"/>
      <c r="AF72" s="69"/>
      <c r="AG72" s="254"/>
      <c r="AH72" s="254"/>
      <c r="AI72" s="254"/>
      <c r="AJ72" s="254"/>
      <c r="AK72" s="254"/>
      <c r="AL72" s="69"/>
      <c r="AM72" s="254"/>
      <c r="AN72" s="254"/>
      <c r="AO72" s="254"/>
      <c r="AP72" s="254"/>
      <c r="AQ72" s="69"/>
      <c r="AR72" s="254"/>
      <c r="AS72" s="254"/>
      <c r="AT72" s="254"/>
      <c r="AU72" s="254"/>
      <c r="AV72" s="254"/>
      <c r="AW72" s="254"/>
      <c r="AX72" s="254"/>
      <c r="AY72" s="254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0.170648464163823</v>
      </c>
      <c r="H73" s="152" t="n">
        <f aca="false">'APUS COMUNICACIONES'!J23</f>
        <v>95.8431</v>
      </c>
      <c r="I73" s="1" t="n">
        <f aca="false">G73*H73</f>
        <v>16.3554778156997</v>
      </c>
      <c r="O73" s="253"/>
      <c r="P73" s="253"/>
      <c r="Q73" s="253"/>
      <c r="R73" s="253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69"/>
      <c r="AD73" s="254"/>
      <c r="AE73" s="69"/>
      <c r="AF73" s="69"/>
      <c r="AG73" s="254"/>
      <c r="AH73" s="254"/>
      <c r="AI73" s="254"/>
      <c r="AJ73" s="254"/>
      <c r="AK73" s="254"/>
      <c r="AL73" s="69"/>
      <c r="AM73" s="254"/>
      <c r="AN73" s="69"/>
      <c r="AO73" s="254"/>
      <c r="AP73" s="254"/>
      <c r="AQ73" s="69"/>
      <c r="AR73" s="254"/>
      <c r="AS73" s="254"/>
      <c r="AT73" s="254"/>
      <c r="AU73" s="254"/>
      <c r="AV73" s="69"/>
      <c r="AW73" s="254"/>
      <c r="AX73" s="69"/>
      <c r="AY73" s="254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0.290102389078498</v>
      </c>
      <c r="H74" s="152" t="n">
        <f aca="false">'APUS COMUNICACIONES'!J41</f>
        <v>95.8431</v>
      </c>
      <c r="I74" s="1" t="n">
        <f aca="false">G74*H74</f>
        <v>27.8043122866894</v>
      </c>
      <c r="S74" s="69"/>
      <c r="T74" s="69"/>
      <c r="U74" s="266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67"/>
      <c r="AS74" s="267"/>
      <c r="AT74" s="69"/>
      <c r="AU74" s="69"/>
      <c r="AV74" s="69"/>
      <c r="AW74" s="69"/>
      <c r="AX74" s="69"/>
      <c r="AY74" s="266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0.0812286689419795</v>
      </c>
      <c r="H75" s="152" t="n">
        <f aca="false">'APUS COMUNICACIONES'!J59</f>
        <v>26.403334</v>
      </c>
      <c r="I75" s="1" t="n">
        <f aca="false">G75*H75</f>
        <v>2.14470767645051</v>
      </c>
      <c r="S75" s="69"/>
      <c r="T75" s="69"/>
      <c r="U75" s="254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55"/>
      <c r="AT75" s="69"/>
      <c r="AU75" s="69"/>
      <c r="AV75" s="69"/>
      <c r="AW75" s="69"/>
      <c r="AX75" s="69"/>
      <c r="AY75" s="254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1.69470989761092</v>
      </c>
      <c r="H76" s="152" t="n">
        <f aca="false">'APUS COMUNICACIONES'!J77</f>
        <v>25.004334</v>
      </c>
      <c r="I76" s="1" t="n">
        <f aca="false">G76*H76</f>
        <v>42.3750923129693</v>
      </c>
      <c r="S76" s="69"/>
      <c r="T76" s="69"/>
      <c r="U76" s="254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55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6.8561433447099</v>
      </c>
      <c r="H77" s="152" t="n">
        <f aca="false">'APUS COMUNICACIONES'!J95</f>
        <v>19.232788</v>
      </c>
      <c r="I77" s="1" t="n">
        <f aca="false">G77*H77</f>
        <v>131.862751446416</v>
      </c>
      <c r="S77" s="69"/>
      <c r="T77" s="69"/>
      <c r="U77" s="254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55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0.0402730375426621</v>
      </c>
      <c r="H78" s="152" t="n">
        <f aca="false">'APUS COMUNICACIONES'!J113</f>
        <v>16.371788</v>
      </c>
      <c r="I78" s="1" t="n">
        <f aca="false">G78*H78</f>
        <v>0.659341632764505</v>
      </c>
      <c r="S78" s="69"/>
      <c r="T78" s="69"/>
      <c r="U78" s="254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55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0.170648464163823</v>
      </c>
      <c r="H79" s="152" t="n">
        <f aca="false">'APUS COMUNICACIONES'!J131</f>
        <v>62.670152</v>
      </c>
      <c r="I79" s="1" t="n">
        <f aca="false">G79*H79</f>
        <v>10.6945651877133</v>
      </c>
      <c r="S79" s="69"/>
      <c r="T79" s="69"/>
      <c r="U79" s="254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55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0.324232081911263</v>
      </c>
      <c r="H80" s="152" t="n">
        <f aca="false">'APUS COMUNICACIONES'!J146</f>
        <v>58.850152</v>
      </c>
      <c r="I80" s="1" t="n">
        <f aca="false">G80*H80</f>
        <v>19.0811073037543</v>
      </c>
      <c r="S80" s="69"/>
      <c r="T80" s="69"/>
      <c r="U80" s="254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55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0.0511945392491468</v>
      </c>
      <c r="H81" s="152" t="n">
        <f aca="false">'APUS COMUNICACIONES'!J161</f>
        <v>57.880152</v>
      </c>
      <c r="I81" s="1" t="n">
        <f aca="false">G81*H81</f>
        <v>2.96314771331058</v>
      </c>
      <c r="S81" s="69"/>
      <c r="T81" s="69"/>
      <c r="U81" s="254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55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0.315699658703072</v>
      </c>
      <c r="H82" s="152" t="n">
        <f aca="false">'APUS COMUNICACIONES'!J176</f>
        <v>99.34046</v>
      </c>
      <c r="I82" s="1" t="n">
        <f aca="false">G82*H82</f>
        <v>31.3617493174061</v>
      </c>
      <c r="S82" s="69"/>
      <c r="T82" s="69"/>
      <c r="U82" s="254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55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1124</v>
      </c>
      <c r="S83" s="69"/>
      <c r="T83" s="69"/>
      <c r="U83" s="254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55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0.068259385665529</v>
      </c>
      <c r="H85" s="28" t="n">
        <f aca="false">'APUS COMUNICACIONES'!J422</f>
        <v>633.6988</v>
      </c>
      <c r="I85" s="1" t="n">
        <f aca="false">G85*H85</f>
        <v>43.2558907849829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0.068259385665529</v>
      </c>
      <c r="H86" s="28" t="n">
        <f aca="false">'APUS COMUNICACIONES'!J440</f>
        <v>520.8388</v>
      </c>
      <c r="I86" s="1" t="n">
        <f aca="false">G86*H86</f>
        <v>35.5521365187713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0.170648464163823</v>
      </c>
      <c r="H88" s="28" t="n">
        <f aca="false">'APUS COMUNICACIONES'!J469</f>
        <v>367.6688</v>
      </c>
      <c r="I88" s="1" t="n">
        <f aca="false">G88*H88</f>
        <v>62.7421160409556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0.068259385665529</v>
      </c>
      <c r="H90" s="28" t="n">
        <f aca="false">'APUS COMUNICACIONES'!J497</f>
        <v>96.14409</v>
      </c>
      <c r="I90" s="1" t="n">
        <f aca="false">G90*H90</f>
        <v>6.56273651877133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0.068259385665529</v>
      </c>
      <c r="H91" s="28" t="n">
        <f aca="false">'APUS COMUNICACIONES'!J513</f>
        <v>64.33069</v>
      </c>
      <c r="I91" s="1" t="n">
        <f aca="false">G91*H91</f>
        <v>4.39117337883959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5" activeCellId="0" sqref="G25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'!D34</f>
        <v>14.3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24223.8774464903</v>
      </c>
      <c r="L4" s="157" t="s">
        <v>1369</v>
      </c>
      <c r="M4" s="252" t="n">
        <f aca="false">J4/M2</f>
        <v>1693.97744381051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70" t="n">
        <f aca="false">((4.4/2+1.05)*3+(2.8*1))/8.8</f>
        <v>1.42613636363636</v>
      </c>
      <c r="F6" s="227" t="s">
        <v>134</v>
      </c>
      <c r="G6" s="71" t="n">
        <f aca="false">E6*$M$2</f>
        <v>20.39375</v>
      </c>
      <c r="H6" s="28" t="n">
        <f aca="false">'APUS ARQUITECTURA'!J5</f>
        <v>135.824337926792</v>
      </c>
      <c r="I6" s="1" t="n">
        <f aca="false">G6*H6</f>
        <v>2769.96759159451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70" t="n">
        <f aca="false">1.95*3/8.8</f>
        <v>0.664772727272727</v>
      </c>
      <c r="F7" s="227" t="s">
        <v>134</v>
      </c>
      <c r="G7" s="71" t="n">
        <f aca="false">E7*$M$2</f>
        <v>9.50625</v>
      </c>
      <c r="H7" s="28" t="n">
        <f aca="false">'APUS ARQUITECTURA'!J32</f>
        <v>150.0657</v>
      </c>
      <c r="I7" s="1" t="n">
        <f aca="false">G7*H7</f>
        <v>1426.562060625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70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273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273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70"/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70" t="n">
        <f aca="false">E7+((1.05*3)/8.8)</f>
        <v>1.02272727272727</v>
      </c>
      <c r="F14" s="1" t="s">
        <v>134</v>
      </c>
      <c r="G14" s="71" t="n">
        <f aca="false">E14*$M$2</f>
        <v>14.625</v>
      </c>
      <c r="H14" s="28" t="n">
        <f aca="false">'APUS ARQUITECTURA'!J148</f>
        <v>35.8409626666667</v>
      </c>
      <c r="I14" s="1" t="n">
        <f aca="false">G14*H14</f>
        <v>524.174079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70" t="n">
        <f aca="false">((1.05+1.8+2.2)*3+(2.8*1))/8.8</f>
        <v>2.03977272727273</v>
      </c>
      <c r="F16" s="1" t="s">
        <v>134</v>
      </c>
      <c r="G16" s="71" t="n">
        <f aca="false">E16*$M$2</f>
        <v>29.16875</v>
      </c>
      <c r="H16" s="28" t="n">
        <f aca="false">'APUS ARQUITECTURA'!J168</f>
        <v>90.82588</v>
      </c>
      <c r="I16" s="1" t="n">
        <f aca="false">G16*H16</f>
        <v>2649.27738725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70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70" t="n">
        <v>1</v>
      </c>
      <c r="F19" s="1" t="s">
        <v>204</v>
      </c>
      <c r="G19" s="71" t="n">
        <f aca="false">E19*$M$2</f>
        <v>14.3</v>
      </c>
      <c r="H19" s="28" t="n">
        <f aca="false">'APUS ARQUITECTURA'!J212</f>
        <v>62.663358</v>
      </c>
      <c r="I19" s="1" t="n">
        <f aca="false">G19*H19</f>
        <v>896.0860194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70" t="n">
        <v>1</v>
      </c>
      <c r="F21" s="1" t="s">
        <v>134</v>
      </c>
      <c r="G21" s="71" t="n">
        <f aca="false">E21*$M$2</f>
        <v>14.3</v>
      </c>
      <c r="H21" s="28" t="n">
        <f aca="false">'APUS ARQUITECTURA'!J232</f>
        <v>40.18468579</v>
      </c>
      <c r="I21" s="1" t="n">
        <f aca="false">G21*H21</f>
        <v>574.641006797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70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70" t="n">
        <v>1</v>
      </c>
      <c r="F23" s="1" t="s">
        <v>134</v>
      </c>
      <c r="G23" s="71" t="n">
        <f aca="false">E23*$M$2</f>
        <v>14.3</v>
      </c>
      <c r="H23" s="28" t="n">
        <f aca="false">'APUS ARQUITECTURA'!J272</f>
        <v>102.656028</v>
      </c>
      <c r="I23" s="1" t="n">
        <f aca="false">G23*H23</f>
        <v>1467.9812004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70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70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70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70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70" t="n">
        <f aca="false">((2*8+2*6.95)-(4.5))/62</f>
        <v>0.409677419354839</v>
      </c>
      <c r="F29" s="1" t="s">
        <v>145</v>
      </c>
      <c r="G29" s="71" t="n">
        <f aca="false">E29*$M$2</f>
        <v>5.85838709677419</v>
      </c>
      <c r="H29" s="28" t="n">
        <f aca="false">'APUS ARQUITECTURA'!J364</f>
        <v>26.68748</v>
      </c>
      <c r="I29" s="1" t="n">
        <f aca="false">G29*H29</f>
        <v>156.345588477419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70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70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70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70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77" t="n">
        <f aca="false">0.9*2.1/8.8</f>
        <v>0.214772727272727</v>
      </c>
      <c r="F35" s="1" t="s">
        <v>134</v>
      </c>
      <c r="G35" s="71" t="n">
        <f aca="false">E35*$M$2</f>
        <v>3.07125</v>
      </c>
      <c r="H35" s="28" t="n">
        <f aca="false">'APUS ARQUITECTURA'!J449</f>
        <v>560.6226</v>
      </c>
      <c r="I35" s="1" t="n">
        <f aca="false">G35*H35</f>
        <v>1721.81216025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70"/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80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273" t="n">
        <v>0.13</v>
      </c>
      <c r="F38" s="1" t="s">
        <v>145</v>
      </c>
      <c r="G38" s="71" t="n">
        <f aca="false">E38*$M$2</f>
        <v>1.859</v>
      </c>
      <c r="H38" s="28" t="n">
        <f aca="false">'APUS ARQUITECTURA'!J470</f>
        <v>622.13</v>
      </c>
      <c r="I38" s="1" t="n">
        <f aca="false">G38*H38</f>
        <v>1156.53967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70" t="n">
        <f aca="false">((4+3)*3)/12</f>
        <v>1.75</v>
      </c>
      <c r="F39" s="1" t="s">
        <v>134</v>
      </c>
      <c r="G39" s="71" t="n">
        <f aca="false">E39*$M$2</f>
        <v>25.025</v>
      </c>
      <c r="H39" s="28" t="n">
        <f aca="false">'APUS ARQUITECTURA'!J477</f>
        <v>54.78</v>
      </c>
      <c r="I39" s="1" t="n">
        <f aca="false">G39*H39</f>
        <v>1370.8695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70" t="n">
        <v>6.09</v>
      </c>
      <c r="F41" s="1" t="s">
        <v>134</v>
      </c>
      <c r="G41" s="71" t="n">
        <f aca="false">E41*$M$2</f>
        <v>87.087</v>
      </c>
      <c r="H41" s="28" t="n">
        <f aca="false">'APUS ARQUITECTURA'!J484</f>
        <v>15.625164</v>
      </c>
      <c r="I41" s="1" t="n">
        <f aca="false">G41*H41</f>
        <v>1360.748657268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70" t="n">
        <f aca="false">E14</f>
        <v>1.02272727272727</v>
      </c>
      <c r="F42" s="109" t="s">
        <v>134</v>
      </c>
      <c r="G42" s="71" t="n">
        <f aca="false">E42*$M$2</f>
        <v>14.625</v>
      </c>
      <c r="H42" s="28" t="n">
        <f aca="false">'APUS ARQUITECTURA'!J504</f>
        <v>15.9562854545455</v>
      </c>
      <c r="I42" s="1" t="n">
        <f aca="false">G42*H42</f>
        <v>233.360674772727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70" t="n">
        <f aca="false">1/8.8</f>
        <v>0.113636363636364</v>
      </c>
      <c r="F44" s="1" t="s">
        <v>1389</v>
      </c>
      <c r="G44" s="71" t="n">
        <f aca="false">E44*$M$2</f>
        <v>1.625</v>
      </c>
      <c r="H44" s="28" t="n">
        <f aca="false">'APUS SANITARIAS'!J5</f>
        <v>193.333333333333</v>
      </c>
      <c r="I44" s="1" t="n">
        <f aca="false">G44*H44</f>
        <v>314.166666666667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70" t="n">
        <f aca="false">1/8.8</f>
        <v>0.113636363636364</v>
      </c>
      <c r="F45" s="1" t="s">
        <v>1389</v>
      </c>
      <c r="G45" s="71" t="n">
        <f aca="false">E45*$M$2</f>
        <v>1.625</v>
      </c>
      <c r="H45" s="28" t="n">
        <f aca="false">'APUS SANITARIAS'!J12</f>
        <v>192.42</v>
      </c>
      <c r="I45" s="1" t="n">
        <f aca="false">G45*H45</f>
        <v>312.6825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70" t="n">
        <f aca="false">1/8.8</f>
        <v>0.113636363636364</v>
      </c>
      <c r="F46" s="1" t="s">
        <v>1389</v>
      </c>
      <c r="G46" s="71" t="n">
        <f aca="false">E46*$M$2</f>
        <v>1.625</v>
      </c>
      <c r="H46" s="28" t="n">
        <f aca="false">'APUS SANITARIAS'!J19</f>
        <v>67.5216666666667</v>
      </c>
      <c r="I46" s="1" t="n">
        <f aca="false">G46*H46</f>
        <v>109.722708333333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70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70" t="n">
        <f aca="false">1/8.8</f>
        <v>0.113636363636364</v>
      </c>
      <c r="F48" s="1" t="s">
        <v>215</v>
      </c>
      <c r="G48" s="71" t="n">
        <f aca="false">E48*$M$2</f>
        <v>1.625</v>
      </c>
      <c r="H48" s="28" t="n">
        <f aca="false">'APUS SANITARIAS'!J32</f>
        <v>131.737813333333</v>
      </c>
      <c r="I48" s="1" t="n">
        <f aca="false">G48*H48</f>
        <v>214.073946666667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70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70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70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70" t="n">
        <f aca="false">12/125</f>
        <v>0.096</v>
      </c>
      <c r="F52" s="1" t="s">
        <v>215</v>
      </c>
      <c r="G52" s="71" t="n">
        <f aca="false">E52*$M$2</f>
        <v>1.3728</v>
      </c>
      <c r="H52" s="28" t="n">
        <f aca="false">'APUS SANITARIAS'!J91</f>
        <v>158.148033208747</v>
      </c>
      <c r="I52" s="1" t="n">
        <f aca="false">G52*H52</f>
        <v>217.105619988967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70" t="n">
        <f aca="false">1/8.8</f>
        <v>0.113636363636364</v>
      </c>
      <c r="F53" s="1" t="s">
        <v>215</v>
      </c>
      <c r="G53" s="71" t="n">
        <f aca="false">E53*$M$2</f>
        <v>1.625</v>
      </c>
      <c r="H53" s="28" t="n">
        <f aca="false">'APUS SANITARIAS'!J108</f>
        <v>138.64528</v>
      </c>
      <c r="I53" s="1" t="n">
        <f aca="false">G53*H53</f>
        <v>225.29858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70" t="n">
        <f aca="false">1/8.8</f>
        <v>0.113636363636364</v>
      </c>
      <c r="F54" s="1" t="s">
        <v>215</v>
      </c>
      <c r="G54" s="71" t="n">
        <f aca="false">E54*$M$2</f>
        <v>1.625</v>
      </c>
      <c r="H54" s="28" t="n">
        <f aca="false">'APUS SANITARIAS'!J127</f>
        <v>145.93578</v>
      </c>
      <c r="I54" s="1" t="n">
        <f aca="false">G54*H54</f>
        <v>237.1456425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70" t="n">
        <f aca="false">1/8.8</f>
        <v>0.113636363636364</v>
      </c>
      <c r="F55" s="1" t="s">
        <v>215</v>
      </c>
      <c r="G55" s="71" t="n">
        <f aca="false">E55*$M$2</f>
        <v>1.625</v>
      </c>
      <c r="H55" s="28" t="n">
        <f aca="false">'APUS SANITARIAS'!J145</f>
        <v>141.07118</v>
      </c>
      <c r="I55" s="1" t="n">
        <f aca="false">G55*H55</f>
        <v>229.2406675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70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70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70" t="n">
        <f aca="false">8/8.8</f>
        <v>0.909090909090909</v>
      </c>
      <c r="F59" s="1" t="s">
        <v>215</v>
      </c>
      <c r="G59" s="71" t="n">
        <f aca="false">E59*$M$2</f>
        <v>13</v>
      </c>
      <c r="H59" s="28" t="n">
        <f aca="false">'APUS ELECTRICAS'!J5</f>
        <v>121.043104</v>
      </c>
      <c r="I59" s="1" t="n">
        <f aca="false">G59*H59</f>
        <v>1573.560352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70" t="n">
        <f aca="false">8/8.8</f>
        <v>0.909090909090909</v>
      </c>
      <c r="F60" s="1" t="s">
        <v>215</v>
      </c>
      <c r="G60" s="71" t="n">
        <f aca="false">E60*$M$2</f>
        <v>13</v>
      </c>
      <c r="H60" s="28" t="n">
        <f aca="false">'APUS ELECTRICAS'!J26</f>
        <v>163.73838</v>
      </c>
      <c r="I60" s="1" t="n">
        <f aca="false">G60*H60</f>
        <v>2128.59894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70" t="n">
        <f aca="false">8/8.8</f>
        <v>0.909090909090909</v>
      </c>
      <c r="F61" s="1" t="s">
        <v>215</v>
      </c>
      <c r="G61" s="71" t="n">
        <f aca="false">E61*$M$2</f>
        <v>13</v>
      </c>
      <c r="H61" s="28" t="n">
        <f aca="false">'APUS ELECTRICAS'!J48</f>
        <v>118.3069</v>
      </c>
      <c r="I61" s="1" t="n">
        <f aca="false">G61*H61</f>
        <v>1537.9897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70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70" t="n">
        <f aca="false">1/8.8</f>
        <v>0.113636363636364</v>
      </c>
      <c r="F64" s="1" t="s">
        <v>150</v>
      </c>
      <c r="G64" s="71" t="n">
        <f aca="false">E64*$M$2</f>
        <v>1.625</v>
      </c>
      <c r="H64" s="28" t="n">
        <f aca="false">'APUS ELECTRICAS'!J74</f>
        <v>396.145032</v>
      </c>
      <c r="I64" s="1" t="n">
        <f aca="false">G64*H64</f>
        <v>643.735677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70" t="n">
        <f aca="false">1/8.8</f>
        <v>0.113636363636364</v>
      </c>
      <c r="F65" s="1" t="s">
        <v>150</v>
      </c>
      <c r="G65" s="71" t="n">
        <f aca="false">E65*$M$2</f>
        <v>1.625</v>
      </c>
      <c r="H65" s="28" t="n">
        <f aca="false">'APUS ELECTRICAS'!J88</f>
        <v>105.9636</v>
      </c>
      <c r="I65" s="1" t="n">
        <f aca="false">G65*H65</f>
        <v>172.19085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70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70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28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28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28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28"/>
    </row>
    <row r="91" customFormat="false" ht="15" hidden="false" customHeight="false" outlineLevel="0" collapsed="false">
      <c r="H91" s="28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61" colorId="64" zoomScale="100" zoomScaleNormal="100" zoomScalePageLayoutView="100" workbookViewId="0">
      <selection pane="topLeft" activeCell="H6" activeCellId="0" sqref="H6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'!D35</f>
        <v>18.4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11000.1785692281</v>
      </c>
      <c r="L4" s="157" t="s">
        <v>1369</v>
      </c>
      <c r="M4" s="252" t="n">
        <f aca="false">J4/M2</f>
        <v>597.835791805875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70" t="n">
        <f aca="false">((((6.95/2)+2.8+2.8+1.4+4.4)+3)-(0.75*2.1))/45</f>
        <v>0.362222222222222</v>
      </c>
      <c r="F6" s="227" t="s">
        <v>134</v>
      </c>
      <c r="G6" s="71" t="n">
        <f aca="false">E6*$M$2</f>
        <v>6.66488888888889</v>
      </c>
      <c r="H6" s="28" t="n">
        <f aca="false">'APUS ARQUITECTURA'!J5</f>
        <v>135.824337926792</v>
      </c>
      <c r="I6" s="1" t="n">
        <f aca="false">G6*H6</f>
        <v>905.254120688966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70" t="n">
        <f aca="false">((6.95/2)*3)/45</f>
        <v>0.231666666666667</v>
      </c>
      <c r="F7" s="227" t="s">
        <v>134</v>
      </c>
      <c r="G7" s="71" t="n">
        <f aca="false">E7*$M$2</f>
        <v>4.26266666666667</v>
      </c>
      <c r="H7" s="28" t="n">
        <f aca="false">'APUS ARQUITECTURA'!J32</f>
        <v>150.0657</v>
      </c>
      <c r="I7" s="1" t="n">
        <f aca="false">G7*H7</f>
        <v>639.6800572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70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273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273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70" t="n">
        <f aca="false">((2*6.95*3)+(2*(2.8)*3))/45</f>
        <v>1.3</v>
      </c>
      <c r="F13" s="1" t="s">
        <v>134</v>
      </c>
      <c r="G13" s="71" t="n">
        <f aca="false">E13*$M$2</f>
        <v>23.92</v>
      </c>
      <c r="H13" s="28" t="n">
        <f aca="false">'APUS ARQUITECTURA'!J127</f>
        <v>27.1229651333333</v>
      </c>
      <c r="I13" s="1" t="n">
        <f aca="false">G13*H13</f>
        <v>648.781325989333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70" t="n">
        <f aca="false">((((2.8*2)+6.95)*3.3)-(0.75*2.1))/45</f>
        <v>0.885333333333333</v>
      </c>
      <c r="F14" s="1" t="s">
        <v>134</v>
      </c>
      <c r="G14" s="71" t="n">
        <f aca="false">E14*$M$2</f>
        <v>16.2901333333333</v>
      </c>
      <c r="H14" s="28" t="n">
        <f aca="false">'APUS ARQUITECTURA'!J148</f>
        <v>35.8409626666667</v>
      </c>
      <c r="I14" s="1" t="n">
        <f aca="false">G14*H14</f>
        <v>583.854060635022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70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70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70" t="n">
        <v>1</v>
      </c>
      <c r="F19" s="1" t="s">
        <v>204</v>
      </c>
      <c r="G19" s="71" t="n">
        <f aca="false">E19*$M$2</f>
        <v>18.4</v>
      </c>
      <c r="H19" s="28" t="n">
        <f aca="false">'APUS ARQUITECTURA'!J212</f>
        <v>62.663358</v>
      </c>
      <c r="I19" s="1" t="n">
        <f aca="false">G19*H19</f>
        <v>1153.0057872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70" t="n">
        <v>1</v>
      </c>
      <c r="F21" s="1" t="s">
        <v>134</v>
      </c>
      <c r="G21" s="71" t="n">
        <f aca="false">E21*$M$2</f>
        <v>18.4</v>
      </c>
      <c r="H21" s="28" t="n">
        <f aca="false">'APUS ARQUITECTURA'!J232</f>
        <v>40.18468579</v>
      </c>
      <c r="I21" s="1" t="n">
        <f aca="false">G21*H21</f>
        <v>739.398218536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70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70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70" t="n">
        <v>1</v>
      </c>
      <c r="F24" s="1" t="s">
        <v>134</v>
      </c>
      <c r="G24" s="71" t="n">
        <f aca="false">E24*$M$2</f>
        <v>18.4</v>
      </c>
      <c r="H24" s="28" t="n">
        <f aca="false">'APUS ARQUITECTURA'!J292</f>
        <v>47.4322</v>
      </c>
      <c r="I24" s="1" t="n">
        <f aca="false">G24*H24</f>
        <v>872.75248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70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70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70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70" t="n">
        <f aca="false">((2*8+2*6.95)-(4.5))/62</f>
        <v>0.409677419354839</v>
      </c>
      <c r="F29" s="1" t="s">
        <v>145</v>
      </c>
      <c r="G29" s="71" t="n">
        <f aca="false">E29*$M$2</f>
        <v>7.53806451612903</v>
      </c>
      <c r="H29" s="28" t="n">
        <f aca="false">'APUS ARQUITECTURA'!J364</f>
        <v>26.68748</v>
      </c>
      <c r="I29" s="1" t="n">
        <f aca="false">G29*H29</f>
        <v>201.171946012903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70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70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70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70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77" t="n">
        <f aca="false">2*2.1/45</f>
        <v>0.0933333333333333</v>
      </c>
      <c r="F35" s="1" t="s">
        <v>134</v>
      </c>
      <c r="G35" s="71" t="n">
        <f aca="false">E35*$M$2</f>
        <v>1.71733333333333</v>
      </c>
      <c r="H35" s="28" t="n">
        <f aca="false">'APUS ARQUITECTURA'!J449</f>
        <v>560.6226</v>
      </c>
      <c r="I35" s="1" t="n">
        <f aca="false">G35*H35</f>
        <v>962.7758784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70"/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80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273" t="n">
        <v>0.13</v>
      </c>
      <c r="F38" s="1" t="s">
        <v>145</v>
      </c>
      <c r="G38" s="71" t="n">
        <f aca="false">E38*$M$2</f>
        <v>2.392</v>
      </c>
      <c r="H38" s="28" t="n">
        <f aca="false">'APUS ARQUITECTURA'!J470</f>
        <v>622.13</v>
      </c>
      <c r="I38" s="1" t="n">
        <f aca="false">G38*H38</f>
        <v>1488.13496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70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70" t="n">
        <f aca="false">E19+E13</f>
        <v>2.3</v>
      </c>
      <c r="F41" s="1" t="s">
        <v>134</v>
      </c>
      <c r="G41" s="71" t="n">
        <f aca="false">E41*$M$2</f>
        <v>42.32</v>
      </c>
      <c r="H41" s="28" t="n">
        <f aca="false">'APUS ARQUITECTURA'!J484</f>
        <v>15.625164</v>
      </c>
      <c r="I41" s="1" t="n">
        <f aca="false">G41*H41</f>
        <v>661.25694048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70" t="n">
        <f aca="false">E14</f>
        <v>0.885333333333333</v>
      </c>
      <c r="F42" s="109" t="s">
        <v>134</v>
      </c>
      <c r="G42" s="71" t="n">
        <f aca="false">E42*$M$2</f>
        <v>16.2901333333333</v>
      </c>
      <c r="H42" s="28" t="n">
        <f aca="false">'APUS ARQUITECTURA'!J504</f>
        <v>15.9562854545455</v>
      </c>
      <c r="I42" s="1" t="n">
        <f aca="false">G42*H42</f>
        <v>259.930017559273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70"/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70"/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70"/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70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70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70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70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70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70" t="n">
        <f aca="false">12/125</f>
        <v>0.096</v>
      </c>
      <c r="F52" s="1" t="s">
        <v>215</v>
      </c>
      <c r="G52" s="71" t="n">
        <f aca="false">E52*$M$2</f>
        <v>1.7664</v>
      </c>
      <c r="H52" s="28" t="n">
        <f aca="false">'APUS SANITARIAS'!J91</f>
        <v>158.148033208747</v>
      </c>
      <c r="I52" s="1" t="n">
        <f aca="false">G52*H52</f>
        <v>279.35268585993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70"/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70"/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70"/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70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70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70" t="n">
        <f aca="false">6/45</f>
        <v>0.133333333333333</v>
      </c>
      <c r="F59" s="1" t="s">
        <v>215</v>
      </c>
      <c r="G59" s="71" t="n">
        <f aca="false">E59*$M$2</f>
        <v>2.45333333333333</v>
      </c>
      <c r="H59" s="28" t="n">
        <f aca="false">'APUS ELECTRICAS'!J5</f>
        <v>121.043104</v>
      </c>
      <c r="I59" s="1" t="n">
        <f aca="false">G59*H59</f>
        <v>296.959081813333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70" t="n">
        <f aca="false">6/45</f>
        <v>0.133333333333333</v>
      </c>
      <c r="F60" s="1" t="s">
        <v>215</v>
      </c>
      <c r="G60" s="71" t="n">
        <f aca="false">E60*$M$2</f>
        <v>2.45333333333333</v>
      </c>
      <c r="H60" s="28" t="n">
        <f aca="false">'APUS ELECTRICAS'!J26</f>
        <v>163.73838</v>
      </c>
      <c r="I60" s="1" t="n">
        <f aca="false">G60*H60</f>
        <v>401.7048256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70" t="n">
        <f aca="false">6/45</f>
        <v>0.133333333333333</v>
      </c>
      <c r="F61" s="1" t="s">
        <v>215</v>
      </c>
      <c r="G61" s="71" t="n">
        <f aca="false">E61*$M$2</f>
        <v>2.45333333333333</v>
      </c>
      <c r="H61" s="28" t="n">
        <f aca="false">'APUS ELECTRICAS'!J48</f>
        <v>118.3069</v>
      </c>
      <c r="I61" s="1" t="n">
        <f aca="false">G61*H61</f>
        <v>290.246261333333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70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70" t="n">
        <f aca="false">(30/10)/45</f>
        <v>0.0666666666666667</v>
      </c>
      <c r="F64" s="1" t="s">
        <v>150</v>
      </c>
      <c r="G64" s="71" t="n">
        <f aca="false">E64*$M$2</f>
        <v>1.22666666666667</v>
      </c>
      <c r="H64" s="28" t="n">
        <f aca="false">'APUS ELECTRICAS'!J74</f>
        <v>396.145032</v>
      </c>
      <c r="I64" s="1" t="n">
        <f aca="false">G64*H64</f>
        <v>485.93790592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70" t="n">
        <f aca="false">(30/10)/45</f>
        <v>0.0666666666666667</v>
      </c>
      <c r="F65" s="1" t="s">
        <v>150</v>
      </c>
      <c r="G65" s="71" t="n">
        <f aca="false">E65*$M$2</f>
        <v>1.22666666666667</v>
      </c>
      <c r="H65" s="28" t="n">
        <f aca="false">'APUS ELECTRICAS'!J88</f>
        <v>105.9636</v>
      </c>
      <c r="I65" s="1" t="n">
        <f aca="false">G65*H65</f>
        <v>129.982016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70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70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28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28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28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28"/>
    </row>
    <row r="91" customFormat="false" ht="15" hidden="false" customHeight="false" outlineLevel="0" collapsed="false">
      <c r="H91" s="28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'!D36</f>
        <v>3.11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9196.25141234525</v>
      </c>
      <c r="L4" s="157" t="s">
        <v>1369</v>
      </c>
      <c r="M4" s="252" t="n">
        <f aca="false">J4/M2</f>
        <v>2956.99402326214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70" t="n">
        <f aca="false">(((4.8+2.05+2.8)*3)-2.8)/20.7</f>
        <v>1.26328502415459</v>
      </c>
      <c r="F6" s="227" t="s">
        <v>134</v>
      </c>
      <c r="G6" s="71" t="n">
        <f aca="false">E6*$M$2</f>
        <v>3.92881642512077</v>
      </c>
      <c r="H6" s="28" t="n">
        <f aca="false">'APUS ARQUITECTURA'!J5</f>
        <v>135.824337926792</v>
      </c>
      <c r="I6" s="1" t="n">
        <f aca="false">G6*H6</f>
        <v>533.628889777935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70" t="n">
        <f aca="false">((6.95+2.4)*3)/20.7</f>
        <v>1.35507246376812</v>
      </c>
      <c r="F7" s="227" t="s">
        <v>134</v>
      </c>
      <c r="G7" s="71" t="n">
        <f aca="false">E7*$M$2</f>
        <v>4.21427536231884</v>
      </c>
      <c r="H7" s="28" t="n">
        <f aca="false">'APUS ARQUITECTURA'!J32</f>
        <v>150.0657</v>
      </c>
      <c r="I7" s="1" t="n">
        <f aca="false">G7*H7</f>
        <v>632.41818223913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70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273" t="n">
        <f aca="false">((2.14+0.25+0.6)*1.9)/20.7</f>
        <v>0.274444444444444</v>
      </c>
      <c r="F9" s="227" t="s">
        <v>134</v>
      </c>
      <c r="G9" s="71" t="n">
        <f aca="false">E9*$M$2</f>
        <v>0.853522222222222</v>
      </c>
      <c r="H9" s="28" t="n">
        <f aca="false">'APUS ARQUITECTURA'!J74</f>
        <v>200.942138</v>
      </c>
      <c r="I9" s="1" t="n">
        <f aca="false">G9*H9</f>
        <v>171.508580163844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273" t="n">
        <f aca="false">(2*1.5*0.6)/20.7</f>
        <v>0.0869565217391304</v>
      </c>
      <c r="F10" s="227" t="s">
        <v>134</v>
      </c>
      <c r="G10" s="71" t="n">
        <f aca="false">E10*$M$2</f>
        <v>0.270434782608696</v>
      </c>
      <c r="H10" s="28" t="n">
        <f aca="false">'APUS ARQUITECTURA'!J92</f>
        <v>300.227954</v>
      </c>
      <c r="I10" s="1" t="n">
        <f aca="false">G10*H10</f>
        <v>81.1920814730435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70"/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70" t="n">
        <f aca="false">((2.8*3.3)-2.8)/20.7</f>
        <v>0.311111111111111</v>
      </c>
      <c r="F14" s="1" t="s">
        <v>134</v>
      </c>
      <c r="G14" s="71" t="n">
        <f aca="false">E14*$M$2</f>
        <v>0.967555555555555</v>
      </c>
      <c r="H14" s="28" t="n">
        <f aca="false">'APUS ARQUITECTURA'!J148</f>
        <v>35.8409626666667</v>
      </c>
      <c r="I14" s="1" t="n">
        <f aca="false">G14*H14</f>
        <v>34.6781225445926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70" t="n">
        <f aca="false">E7+E6</f>
        <v>2.61835748792271</v>
      </c>
      <c r="F16" s="1" t="s">
        <v>134</v>
      </c>
      <c r="G16" s="71" t="n">
        <f aca="false">E16*$M$2</f>
        <v>8.14309178743961</v>
      </c>
      <c r="H16" s="28" t="n">
        <f aca="false">'APUS ARQUITECTURA'!J168</f>
        <v>90.82588</v>
      </c>
      <c r="I16" s="1" t="n">
        <f aca="false">G16*H16</f>
        <v>739.603477514976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70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70" t="n">
        <v>1</v>
      </c>
      <c r="F19" s="1" t="s">
        <v>204</v>
      </c>
      <c r="G19" s="71" t="n">
        <f aca="false">E19*$M$2</f>
        <v>3.11</v>
      </c>
      <c r="H19" s="28" t="n">
        <f aca="false">'APUS ARQUITECTURA'!J212</f>
        <v>62.663358</v>
      </c>
      <c r="I19" s="1" t="n">
        <f aca="false">G19*H19</f>
        <v>194.88304338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70" t="n">
        <v>1</v>
      </c>
      <c r="F21" s="1" t="s">
        <v>134</v>
      </c>
      <c r="G21" s="71" t="n">
        <f aca="false">E21*$M$2</f>
        <v>3.11</v>
      </c>
      <c r="H21" s="28" t="n">
        <f aca="false">'APUS ARQUITECTURA'!J232</f>
        <v>40.18468579</v>
      </c>
      <c r="I21" s="1" t="n">
        <f aca="false">G21*H21</f>
        <v>124.9743728069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70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70" t="n">
        <v>1</v>
      </c>
      <c r="F23" s="1" t="s">
        <v>134</v>
      </c>
      <c r="G23" s="71" t="n">
        <f aca="false">E23*$M$2</f>
        <v>3.11</v>
      </c>
      <c r="H23" s="28" t="n">
        <f aca="false">'APUS ARQUITECTURA'!J272</f>
        <v>102.656028</v>
      </c>
      <c r="I23" s="1" t="n">
        <f aca="false">G23*H23</f>
        <v>319.26024708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70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70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70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70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70" t="n">
        <f aca="false">((2*8+2*6.95)-(4.5))/62</f>
        <v>0.409677419354839</v>
      </c>
      <c r="F29" s="1" t="s">
        <v>145</v>
      </c>
      <c r="G29" s="71" t="n">
        <f aca="false">E29*$M$2</f>
        <v>1.27409677419355</v>
      </c>
      <c r="H29" s="28" t="n">
        <f aca="false">'APUS ARQUITECTURA'!J364</f>
        <v>26.68748</v>
      </c>
      <c r="I29" s="1" t="n">
        <f aca="false">G29*H29</f>
        <v>34.0024321793548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70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70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70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70" t="n">
        <f aca="false">(((17.65*2)+6.95*2-(2*0.9))/(120))</f>
        <v>0.395</v>
      </c>
      <c r="F33" s="1" t="s">
        <v>145</v>
      </c>
      <c r="G33" s="71" t="n">
        <f aca="false">E33*$M$2</f>
        <v>1.22845</v>
      </c>
      <c r="H33" s="28" t="n">
        <f aca="false">'APUS ARQUITECTURA'!J430</f>
        <v>84.43849</v>
      </c>
      <c r="I33" s="1" t="n">
        <f aca="false">G33*H33</f>
        <v>103.7284630405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87" t="n">
        <f aca="false">((0.9+0.6)*1.9+(1*2.1))/20.7</f>
        <v>0.239130434782609</v>
      </c>
      <c r="F35" s="1" t="s">
        <v>134</v>
      </c>
      <c r="G35" s="71" t="n">
        <f aca="false">E35*$M$2</f>
        <v>0.743695652173913</v>
      </c>
      <c r="H35" s="28" t="n">
        <f aca="false">'APUS ARQUITECTURA'!J449</f>
        <v>560.6226</v>
      </c>
      <c r="I35" s="1" t="n">
        <f aca="false">G35*H35</f>
        <v>416.932590130435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70" t="n">
        <f aca="false">(2.8*1)/12.5</f>
        <v>0.224</v>
      </c>
      <c r="F36" s="1" t="s">
        <v>134</v>
      </c>
      <c r="G36" s="71" t="n">
        <f aca="false">E36*$M$2</f>
        <v>0.69664</v>
      </c>
      <c r="H36" s="28" t="n">
        <f aca="false">'APUS ARQUITECTURA'!J456</f>
        <v>367.870834240906</v>
      </c>
      <c r="I36" s="1" t="n">
        <f aca="false">G36*H36</f>
        <v>256.273537965585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80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273" t="n">
        <v>0.13</v>
      </c>
      <c r="F38" s="1" t="s">
        <v>145</v>
      </c>
      <c r="G38" s="71" t="n">
        <f aca="false">E38*$M$2</f>
        <v>0.4043</v>
      </c>
      <c r="H38" s="28" t="n">
        <f aca="false">'APUS ARQUITECTURA'!J470</f>
        <v>622.13</v>
      </c>
      <c r="I38" s="1" t="n">
        <f aca="false">G38*H38</f>
        <v>251.527159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70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70" t="n">
        <f aca="false">E19+E13</f>
        <v>1</v>
      </c>
      <c r="F41" s="1" t="s">
        <v>134</v>
      </c>
      <c r="G41" s="71" t="n">
        <f aca="false">E41*$M$2</f>
        <v>3.11</v>
      </c>
      <c r="H41" s="28" t="n">
        <f aca="false">'APUS ARQUITECTURA'!J484</f>
        <v>15.625164</v>
      </c>
      <c r="I41" s="1" t="n">
        <f aca="false">G41*H41</f>
        <v>48.59426004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70" t="n">
        <f aca="false">E14</f>
        <v>0.311111111111111</v>
      </c>
      <c r="F42" s="109" t="s">
        <v>134</v>
      </c>
      <c r="G42" s="71" t="n">
        <f aca="false">E42*$M$2</f>
        <v>0.967555555555555</v>
      </c>
      <c r="H42" s="28" t="n">
        <f aca="false">'APUS ARQUITECTURA'!J504</f>
        <v>15.9562854545455</v>
      </c>
      <c r="I42" s="1" t="n">
        <f aca="false">G42*H42</f>
        <v>15.4385926375758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70" t="n">
        <f aca="false">30/42.5</f>
        <v>0.705882352941177</v>
      </c>
      <c r="F44" s="1" t="s">
        <v>1389</v>
      </c>
      <c r="G44" s="71" t="n">
        <f aca="false">E44*$M$2</f>
        <v>2.19529411764706</v>
      </c>
      <c r="H44" s="28" t="n">
        <f aca="false">'APUS SANITARIAS'!J5</f>
        <v>193.333333333333</v>
      </c>
      <c r="I44" s="1" t="n">
        <f aca="false">G44*H44</f>
        <v>424.423529411765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70" t="n">
        <f aca="false">30/42.5</f>
        <v>0.705882352941177</v>
      </c>
      <c r="F45" s="1" t="s">
        <v>1389</v>
      </c>
      <c r="G45" s="71" t="n">
        <f aca="false">E45*$M$2</f>
        <v>2.19529411764706</v>
      </c>
      <c r="H45" s="28" t="n">
        <f aca="false">'APUS SANITARIAS'!J12</f>
        <v>192.42</v>
      </c>
      <c r="I45" s="1" t="n">
        <f aca="false">G45*H45</f>
        <v>422.418494117647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70" t="n">
        <f aca="false">30/42.5</f>
        <v>0.705882352941177</v>
      </c>
      <c r="F46" s="1" t="s">
        <v>1389</v>
      </c>
      <c r="G46" s="71" t="n">
        <f aca="false">E46*$M$2</f>
        <v>2.19529411764706</v>
      </c>
      <c r="H46" s="28" t="n">
        <f aca="false">'APUS SANITARIAS'!J19</f>
        <v>67.5216666666667</v>
      </c>
      <c r="I46" s="1" t="n">
        <f aca="false">G46*H46</f>
        <v>148.229917647059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70" t="n">
        <v>0.15</v>
      </c>
      <c r="F47" s="1" t="s">
        <v>155</v>
      </c>
      <c r="G47" s="71" t="n">
        <f aca="false">E47*$M$2</f>
        <v>0.4665</v>
      </c>
      <c r="H47" s="28" t="n">
        <f aca="false">'APUS SANITARIAS'!J26</f>
        <v>750</v>
      </c>
      <c r="I47" s="1" t="n">
        <f aca="false">G47*H47</f>
        <v>349.875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70" t="n">
        <f aca="false">35/42.5</f>
        <v>0.823529411764706</v>
      </c>
      <c r="F48" s="1" t="s">
        <v>215</v>
      </c>
      <c r="G48" s="71" t="n">
        <f aca="false">E48*$M$2</f>
        <v>2.56117647058824</v>
      </c>
      <c r="H48" s="28" t="n">
        <f aca="false">'APUS SANITARIAS'!J32</f>
        <v>131.737813333333</v>
      </c>
      <c r="I48" s="1" t="n">
        <f aca="false">G48*H48</f>
        <v>337.403787796078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70" t="n">
        <f aca="false">8/42.5</f>
        <v>0.188235294117647</v>
      </c>
      <c r="F49" s="1" t="s">
        <v>215</v>
      </c>
      <c r="G49" s="71" t="n">
        <f aca="false">E49*$M$2</f>
        <v>0.585411764705882</v>
      </c>
      <c r="H49" s="28" t="n">
        <f aca="false">'APUS SANITARIAS'!J50</f>
        <v>210.60376</v>
      </c>
      <c r="I49" s="1" t="n">
        <f aca="false">G49*H49</f>
        <v>123.289918795294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70" t="n">
        <v>1.2</v>
      </c>
      <c r="F50" s="1" t="s">
        <v>155</v>
      </c>
      <c r="G50" s="71" t="n">
        <f aca="false">E50*$M$2</f>
        <v>3.732</v>
      </c>
      <c r="H50" s="28" t="n">
        <f aca="false">'APUS SANITARIAS'!J69</f>
        <v>200</v>
      </c>
      <c r="I50" s="1" t="n">
        <f aca="false">G50*H50</f>
        <v>746.4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70" t="n">
        <v>0.08</v>
      </c>
      <c r="F51" s="1" t="s">
        <v>155</v>
      </c>
      <c r="G51" s="71" t="n">
        <f aca="false">E51*$M$2</f>
        <v>0.2488</v>
      </c>
      <c r="H51" s="28" t="n">
        <f aca="false">'APUS SANITARIAS'!J76</f>
        <v>537.217104</v>
      </c>
      <c r="I51" s="1" t="n">
        <f aca="false">G51*H51</f>
        <v>133.6596154752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70" t="n">
        <f aca="false">12/125</f>
        <v>0.096</v>
      </c>
      <c r="F52" s="1" t="s">
        <v>215</v>
      </c>
      <c r="G52" s="71" t="n">
        <f aca="false">E52*$M$2</f>
        <v>0.29856</v>
      </c>
      <c r="H52" s="28" t="n">
        <f aca="false">'APUS SANITARIAS'!J91</f>
        <v>158.148033208747</v>
      </c>
      <c r="I52" s="1" t="n">
        <f aca="false">G52*H52</f>
        <v>47.2166767948034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70" t="n">
        <f aca="false">35/42.5</f>
        <v>0.823529411764706</v>
      </c>
      <c r="F53" s="1" t="s">
        <v>215</v>
      </c>
      <c r="G53" s="71" t="n">
        <f aca="false">E53*$M$2</f>
        <v>2.56117647058824</v>
      </c>
      <c r="H53" s="28" t="n">
        <f aca="false">'APUS SANITARIAS'!J108</f>
        <v>138.64528</v>
      </c>
      <c r="I53" s="1" t="n">
        <f aca="false">G53*H53</f>
        <v>355.095028894118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70" t="n">
        <f aca="false">35/42.5</f>
        <v>0.823529411764706</v>
      </c>
      <c r="F54" s="1" t="s">
        <v>215</v>
      </c>
      <c r="G54" s="71" t="n">
        <f aca="false">E54*$M$2</f>
        <v>2.56117647058824</v>
      </c>
      <c r="H54" s="28" t="n">
        <f aca="false">'APUS SANITARIAS'!J127</f>
        <v>145.93578</v>
      </c>
      <c r="I54" s="1" t="n">
        <f aca="false">G54*H54</f>
        <v>373.767285952941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70" t="n">
        <f aca="false">35/42.5</f>
        <v>0.823529411764706</v>
      </c>
      <c r="F55" s="1" t="s">
        <v>215</v>
      </c>
      <c r="G55" s="71" t="n">
        <f aca="false">E55*$M$2</f>
        <v>2.56117647058824</v>
      </c>
      <c r="H55" s="28" t="n">
        <f aca="false">'APUS SANITARIAS'!J145</f>
        <v>141.07118</v>
      </c>
      <c r="I55" s="1" t="n">
        <f aca="false">G55*H55</f>
        <v>361.308186894118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70" t="n">
        <f aca="false">7/42.5</f>
        <v>0.164705882352941</v>
      </c>
      <c r="F56" s="1" t="s">
        <v>150</v>
      </c>
      <c r="G56" s="71" t="n">
        <f aca="false">E56*$M$2</f>
        <v>0.512235294117647</v>
      </c>
      <c r="H56" s="28" t="n">
        <f aca="false">'APUS SANITARIAS'!J163</f>
        <v>214.33092</v>
      </c>
      <c r="I56" s="1" t="n">
        <f aca="false">G56*H56</f>
        <v>109.787861844706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70" t="n">
        <f aca="false">7/42.5</f>
        <v>0.164705882352941</v>
      </c>
      <c r="F57" s="1" t="s">
        <v>150</v>
      </c>
      <c r="G57" s="71" t="n">
        <f aca="false">E57*$M$2</f>
        <v>0.512235294117647</v>
      </c>
      <c r="H57" s="28" t="n">
        <f aca="false">'APUS SANITARIAS'!J178</f>
        <v>101.513743136387</v>
      </c>
      <c r="I57" s="1" t="n">
        <f aca="false">G57*H57</f>
        <v>51.9989220724505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70" t="n">
        <f aca="false">10/12.5</f>
        <v>0.8</v>
      </c>
      <c r="F59" s="1" t="s">
        <v>215</v>
      </c>
      <c r="G59" s="71" t="n">
        <f aca="false">E59*$M$2</f>
        <v>2.488</v>
      </c>
      <c r="H59" s="28" t="n">
        <f aca="false">'APUS ELECTRICAS'!J5</f>
        <v>121.043104</v>
      </c>
      <c r="I59" s="1" t="n">
        <f aca="false">G59*H59</f>
        <v>301.155242752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70" t="n">
        <f aca="false">10/12.5</f>
        <v>0.8</v>
      </c>
      <c r="F60" s="1" t="s">
        <v>215</v>
      </c>
      <c r="G60" s="71" t="n">
        <f aca="false">E60*$M$2</f>
        <v>2.488</v>
      </c>
      <c r="H60" s="28" t="n">
        <f aca="false">'APUS ELECTRICAS'!J26</f>
        <v>163.73838</v>
      </c>
      <c r="I60" s="1" t="n">
        <f aca="false">G60*H60</f>
        <v>407.38108944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70" t="n">
        <f aca="false">10/12.5</f>
        <v>0.8</v>
      </c>
      <c r="F61" s="1" t="s">
        <v>215</v>
      </c>
      <c r="G61" s="71" t="n">
        <f aca="false">E61*$M$2</f>
        <v>2.488</v>
      </c>
      <c r="H61" s="28" t="n">
        <f aca="false">'APUS ELECTRICAS'!J48</f>
        <v>118.3069</v>
      </c>
      <c r="I61" s="1" t="n">
        <f aca="false">G61*H61</f>
        <v>294.3475672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70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70" t="n">
        <f aca="false">2/12.5</f>
        <v>0.16</v>
      </c>
      <c r="F64" s="1" t="s">
        <v>150</v>
      </c>
      <c r="G64" s="71" t="n">
        <f aca="false">E64*$M$2</f>
        <v>0.4976</v>
      </c>
      <c r="H64" s="28" t="n">
        <f aca="false">'APUS ELECTRICAS'!J74</f>
        <v>396.145032</v>
      </c>
      <c r="I64" s="1" t="n">
        <f aca="false">G64*H64</f>
        <v>197.1217679232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70" t="n">
        <f aca="false">2/12.5</f>
        <v>0.16</v>
      </c>
      <c r="F65" s="1" t="s">
        <v>150</v>
      </c>
      <c r="G65" s="71" t="n">
        <f aca="false">E65*$M$2</f>
        <v>0.4976</v>
      </c>
      <c r="H65" s="28" t="n">
        <f aca="false">'APUS ELECTRICAS'!J88</f>
        <v>105.9636</v>
      </c>
      <c r="I65" s="1" t="n">
        <f aca="false">G65*H65</f>
        <v>52.72748736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70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70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'!D37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70" t="n">
        <f aca="false">(((4.8+2.05+2.8)*3)-2.8)/20.7</f>
        <v>1.26328502415459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70" t="n">
        <f aca="false">((6.95+2.4)*3)/20.7</f>
        <v>1.35507246376812</v>
      </c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70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273" t="n">
        <f aca="false">((2.14+0.25+0.6)*1.9)/20.7</f>
        <v>0.274444444444444</v>
      </c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273" t="n">
        <f aca="false">(2*1.5*0.6)/20.7</f>
        <v>0.0869565217391304</v>
      </c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70"/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70" t="n">
        <f aca="false">((2.8*3.3)-2.8)/20.7</f>
        <v>0.311111111111111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70" t="n">
        <f aca="false">E7+E6</f>
        <v>2.61835748792271</v>
      </c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70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70" t="n">
        <v>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70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70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70" t="n">
        <v>1</v>
      </c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70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70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70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70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70" t="n">
        <f aca="false">((2*8+2*6.95)-(4.5))/62</f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70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70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70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70" t="n">
        <f aca="false">(((17.65*2)+6.95*2-(2*0.9))/(120))</f>
        <v>0.395</v>
      </c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87" t="n">
        <f aca="false">((0.9+0.6)*1.9+(1*2.1))/20.7</f>
        <v>0.239130434782609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70" t="n">
        <f aca="false">(2.8*1)/12.5</f>
        <v>0.224</v>
      </c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80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273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70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70" t="n">
        <f aca="false">E19+E13</f>
        <v>1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70" t="n">
        <f aca="false">E14</f>
        <v>0.311111111111111</v>
      </c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70" t="n">
        <f aca="false">30/42.5</f>
        <v>0.705882352941177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1020</v>
      </c>
      <c r="E45" s="270"/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70" t="n">
        <f aca="false">30/42.5</f>
        <v>0.705882352941177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70" t="n">
        <v>0.15</v>
      </c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70" t="n">
        <f aca="false">35/42.5</f>
        <v>0.823529411764706</v>
      </c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70" t="n">
        <f aca="false">8/42.5</f>
        <v>0.188235294117647</v>
      </c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70" t="n">
        <v>1.2</v>
      </c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70" t="n">
        <v>0.08</v>
      </c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70" t="n">
        <f aca="false">12/125</f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70" t="n">
        <f aca="false">35/42.5</f>
        <v>0.823529411764706</v>
      </c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70" t="n">
        <f aca="false">35/42.5</f>
        <v>0.823529411764706</v>
      </c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70" t="n">
        <f aca="false">35/42.5</f>
        <v>0.823529411764706</v>
      </c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70" t="n">
        <f aca="false">7/42.5</f>
        <v>0.164705882352941</v>
      </c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70" t="n">
        <f aca="false">7/42.5</f>
        <v>0.164705882352941</v>
      </c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70" t="n">
        <f aca="false">10/12.5</f>
        <v>0.8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70" t="n">
        <f aca="false">10/12.5</f>
        <v>0.8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70" t="n">
        <f aca="false">10/12.5</f>
        <v>0.8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70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70" t="n">
        <f aca="false">2/12.5</f>
        <v>0.16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70" t="n">
        <f aca="false">2/12.5</f>
        <v>0.16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70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70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'!D38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70" t="n">
        <f aca="false">((((2*6.95/2)+2.8+1.8+2.05+1.8+0.45)*3)-2.8*1)/30</f>
        <v>1.49166666666667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70" t="n">
        <f aca="false">((1*6.95)*3)/30</f>
        <v>0.695</v>
      </c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70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273" t="n">
        <f aca="false">(((3*1.4)+(4*0.9)+1.95+1.45+2+2)*1.9)/30</f>
        <v>0.962666666666667</v>
      </c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273" t="n">
        <f aca="false">(2*1.5*0.5)/30</f>
        <v>0.05</v>
      </c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70"/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70" t="n">
        <f aca="false">((6.95*3.3)+(2.8*2.3))/30</f>
        <v>0.979166666666667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70" t="n">
        <f aca="false">(((6.95+5.2+2.1+2.05+0.45+1.45+1.95+1.15+(0.75*4)+0.3)*3)+(2.8*2))/30</f>
        <v>2.64666666666667</v>
      </c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70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70" t="n">
        <v>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70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70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70" t="n">
        <v>1</v>
      </c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70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70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70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70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70" t="n">
        <f aca="false">((2*8+2*6.95)-(4.5))/62</f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70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70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70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70" t="n">
        <f aca="false">(((17.65*2)+6.95*2-(2*0.9))/(120))</f>
        <v>0.395</v>
      </c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77" t="n">
        <f aca="false">((0.9+0.6)*1.9+(1*2.1))/30</f>
        <v>0.165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70" t="n">
        <f aca="false">2.8/30</f>
        <v>0.0933333333333333</v>
      </c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80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273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70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70" t="n">
        <f aca="false">1.13+E19</f>
        <v>2.13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70" t="n">
        <f aca="false">E14</f>
        <v>0.979166666666667</v>
      </c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70" t="n">
        <f aca="false">30/42.5</f>
        <v>0.705882352941177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70" t="n">
        <f aca="false">30/42.5</f>
        <v>0.705882352941177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70" t="n">
        <f aca="false">30/42.5</f>
        <v>0.705882352941177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70" t="n">
        <v>0.15</v>
      </c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70" t="n">
        <f aca="false">35/42.5</f>
        <v>0.823529411764706</v>
      </c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70" t="n">
        <f aca="false">8/30</f>
        <v>0.266666666666667</v>
      </c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70" t="n">
        <v>1.2</v>
      </c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70" t="n">
        <v>0.08</v>
      </c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70" t="n">
        <f aca="false">12/125</f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70" t="n">
        <f aca="false">35/42.5</f>
        <v>0.823529411764706</v>
      </c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70" t="n">
        <f aca="false">35/42.5</f>
        <v>0.823529411764706</v>
      </c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70" t="n">
        <f aca="false">35/42.5</f>
        <v>0.823529411764706</v>
      </c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70" t="n">
        <f aca="false">7/30</f>
        <v>0.233333333333333</v>
      </c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70" t="n">
        <f aca="false">7/30</f>
        <v>0.233333333333333</v>
      </c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70" t="n">
        <f aca="false">14/30</f>
        <v>0.466666666666667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70" t="n">
        <f aca="false">14/30</f>
        <v>0.466666666666667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70" t="n">
        <f aca="false">14/30</f>
        <v>0.466666666666667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71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71" t="n">
        <f aca="false">4/30</f>
        <v>0.133333333333333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71" t="n">
        <f aca="false">4/30</f>
        <v>0.133333333333333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71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71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'!D39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70" t="n">
        <f aca="false">((((2*6.95/2)+2.8+1.8+2.05+1.8+0.45)*3)-2.8*1)/30</f>
        <v>1.49166666666667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70" t="n">
        <f aca="false">((1*6.95)*3)/30</f>
        <v>0.695</v>
      </c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70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273" t="n">
        <f aca="false">(((3*1.4)+(4*0.9)+1.95+1.45+2+2)*1.9)/30</f>
        <v>0.962666666666667</v>
      </c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273" t="n">
        <f aca="false">(2*1.5*0.5)/30</f>
        <v>0.05</v>
      </c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70"/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70" t="n">
        <f aca="false">((6.95*3.3)+(2.8*2.3))/30</f>
        <v>0.979166666666667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70" t="n">
        <f aca="false">(((6.95+5.2+2.1+2.05+0.45+1.45+1.95+1.15+(0.75*4)+0.3)*3)+(2.8*2))/30</f>
        <v>2.64666666666667</v>
      </c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70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70" t="n">
        <v>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70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70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70" t="n">
        <v>1</v>
      </c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70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70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70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70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70" t="n">
        <f aca="false">((2*8+2*6.95)-(4.5))/62</f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70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70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70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70" t="n">
        <f aca="false">(((17.65*2)+6.95*2-(2*0.9))/(120))</f>
        <v>0.395</v>
      </c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77" t="n">
        <f aca="false">((0.9+0.6)*1.9+(1*2.1))/30</f>
        <v>0.165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70" t="n">
        <f aca="false">2.8/30</f>
        <v>0.0933333333333333</v>
      </c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80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273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70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70" t="n">
        <f aca="false">1.13+E19</f>
        <v>2.13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70" t="n">
        <f aca="false">E14</f>
        <v>0.979166666666667</v>
      </c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319</v>
      </c>
      <c r="E44" s="270" t="n">
        <f aca="false">30/42.5</f>
        <v>0.705882352941177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1020</v>
      </c>
      <c r="E45" s="270"/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70" t="n">
        <f aca="false">30/42.5</f>
        <v>0.705882352941177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70" t="n">
        <v>0.15</v>
      </c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70" t="n">
        <f aca="false">35/42.5</f>
        <v>0.823529411764706</v>
      </c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70" t="n">
        <f aca="false">8/30</f>
        <v>0.266666666666667</v>
      </c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70" t="n">
        <v>1.2</v>
      </c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70" t="n">
        <v>0.08</v>
      </c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70" t="n">
        <f aca="false">12/125</f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70" t="n">
        <f aca="false">35/42.5</f>
        <v>0.823529411764706</v>
      </c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70" t="n">
        <f aca="false">35/42.5</f>
        <v>0.823529411764706</v>
      </c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70" t="n">
        <f aca="false">35/42.5</f>
        <v>0.823529411764706</v>
      </c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70" t="n">
        <f aca="false">7/30</f>
        <v>0.233333333333333</v>
      </c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70" t="n">
        <f aca="false">7/30</f>
        <v>0.233333333333333</v>
      </c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70" t="n">
        <f aca="false">14/30</f>
        <v>0.466666666666667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70" t="n">
        <f aca="false">14/30</f>
        <v>0.466666666666667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70" t="n">
        <f aca="false">14/30</f>
        <v>0.466666666666667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71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71" t="n">
        <f aca="false">4/30</f>
        <v>0.133333333333333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71" t="n">
        <f aca="false">4/30</f>
        <v>0.133333333333333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71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71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'!D40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70" t="n">
        <f aca="false">((((2*6.95/2)+2.8+1.8+2.05+1.8+0.45)*3)-2.8*1)/30</f>
        <v>1.49166666666667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70" t="n">
        <f aca="false">((1*6.95)*3)/30</f>
        <v>0.695</v>
      </c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70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273" t="n">
        <f aca="false">(((3*1.4)+(4*0.9)+1.95+1.45+2+2)*1.9)/30</f>
        <v>0.962666666666667</v>
      </c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273" t="n">
        <f aca="false">(2*1.5*0.5)/30</f>
        <v>0.05</v>
      </c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70"/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70" t="n">
        <f aca="false">((6.95*3.3)+(2.8*2.3))/30</f>
        <v>0.979166666666667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70" t="n">
        <f aca="false">(((6.95+5.2+2.1+2.05+0.45+1.45+1.95+1.15+(0.75*4)+0.3)*3)+(2.8*2))/30</f>
        <v>2.64666666666667</v>
      </c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70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70" t="n">
        <v>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70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70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70" t="n">
        <v>1</v>
      </c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70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70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70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70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70" t="n">
        <f aca="false">((2*8+2*6.95)-(4.5))/62</f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70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70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70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70" t="n">
        <f aca="false">(((17.65*2)+6.95*2-(2*0.9))/(120))</f>
        <v>0.395</v>
      </c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77" t="n">
        <f aca="false">((0.9+0.6)*1.9+(1*2.1))/30</f>
        <v>0.165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70" t="n">
        <f aca="false">2.8/30</f>
        <v>0.0933333333333333</v>
      </c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80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273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70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70" t="n">
        <f aca="false">1.13+E19</f>
        <v>2.13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70" t="n">
        <f aca="false">E14</f>
        <v>0.979166666666667</v>
      </c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70" t="n">
        <f aca="false">30/42.5</f>
        <v>0.705882352941177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70" t="n">
        <f aca="false">30/42.5</f>
        <v>0.705882352941177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70" t="n">
        <f aca="false">30/42.5</f>
        <v>0.705882352941177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70" t="n">
        <v>0.15</v>
      </c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70" t="n">
        <f aca="false">35/42.5</f>
        <v>0.823529411764706</v>
      </c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70" t="n">
        <f aca="false">8/30</f>
        <v>0.266666666666667</v>
      </c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70" t="n">
        <v>1.2</v>
      </c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70" t="n">
        <v>0.08</v>
      </c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70" t="n">
        <f aca="false">12/125</f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70" t="n">
        <f aca="false">35/42.5</f>
        <v>0.823529411764706</v>
      </c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70" t="n">
        <f aca="false">35/42.5</f>
        <v>0.823529411764706</v>
      </c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70" t="n">
        <f aca="false">35/42.5</f>
        <v>0.823529411764706</v>
      </c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70" t="n">
        <f aca="false">7/30</f>
        <v>0.233333333333333</v>
      </c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70" t="n">
        <f aca="false">7/30</f>
        <v>0.233333333333333</v>
      </c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70" t="n">
        <f aca="false">14/30</f>
        <v>0.466666666666667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70" t="n">
        <f aca="false">14/30</f>
        <v>0.466666666666667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70" t="n">
        <f aca="false">14/30</f>
        <v>0.466666666666667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71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71" t="n">
        <f aca="false">4/30</f>
        <v>0.133333333333333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71" t="n">
        <f aca="false">4/30</f>
        <v>0.133333333333333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71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71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'!D41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70" t="n">
        <f aca="false">((((2*6.95/2)+2.8+1.8+2.05+1.8+0.45)*3)-2.8*1)/30</f>
        <v>1.49166666666667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70" t="n">
        <f aca="false">((1*6.95)*3)/30</f>
        <v>0.695</v>
      </c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70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273" t="n">
        <f aca="false">(((3*1.4)+(4*0.9)+1.95+1.45+2+2)*1.9)/30</f>
        <v>0.962666666666667</v>
      </c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273" t="n">
        <f aca="false">(2*1.5*0.5)/30</f>
        <v>0.05</v>
      </c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70"/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70" t="n">
        <f aca="false">((6.95*3.3)+(2.8*2.3))/30</f>
        <v>0.979166666666667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70" t="n">
        <f aca="false">(((6.95+5.2+2.1+2.05+0.45+1.45+1.95+1.15+(0.75*4)+0.3)*3)+(2.8*2))/30</f>
        <v>2.64666666666667</v>
      </c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70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70" t="n">
        <v>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70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70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70" t="n">
        <v>1</v>
      </c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70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70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70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70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70" t="n">
        <f aca="false">((2*8+2*6.95)-(4.5))/62</f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70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70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70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70" t="n">
        <f aca="false">(((17.65*2)+6.95*2-(2*0.9))/(120))</f>
        <v>0.395</v>
      </c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77" t="n">
        <f aca="false">((0.9+0.6)*1.9+(1*2.1))/30</f>
        <v>0.165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70" t="n">
        <f aca="false">2.8/30</f>
        <v>0.0933333333333333</v>
      </c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80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273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70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70" t="n">
        <f aca="false">1.13+E19</f>
        <v>2.13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70" t="n">
        <f aca="false">E14</f>
        <v>0.979166666666667</v>
      </c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319</v>
      </c>
      <c r="E44" s="270" t="n">
        <f aca="false">30/42.5</f>
        <v>0.705882352941177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1020</v>
      </c>
      <c r="E45" s="270"/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70" t="n">
        <f aca="false">30/42.5</f>
        <v>0.705882352941177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70" t="n">
        <v>0.15</v>
      </c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70" t="n">
        <f aca="false">35/42.5</f>
        <v>0.823529411764706</v>
      </c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70" t="n">
        <f aca="false">8/30</f>
        <v>0.266666666666667</v>
      </c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70" t="n">
        <v>1.2</v>
      </c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70" t="n">
        <v>0.08</v>
      </c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70" t="n">
        <f aca="false">12/125</f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70" t="n">
        <f aca="false">35/42.5</f>
        <v>0.823529411764706</v>
      </c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70" t="n">
        <f aca="false">35/42.5</f>
        <v>0.823529411764706</v>
      </c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70" t="n">
        <f aca="false">35/42.5</f>
        <v>0.823529411764706</v>
      </c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70" t="n">
        <f aca="false">7/30</f>
        <v>0.233333333333333</v>
      </c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70" t="n">
        <f aca="false">7/30</f>
        <v>0.233333333333333</v>
      </c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70" t="n">
        <f aca="false">14/30</f>
        <v>0.466666666666667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70" t="n">
        <f aca="false">14/30</f>
        <v>0.466666666666667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70" t="n">
        <f aca="false">14/30</f>
        <v>0.466666666666667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71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71" t="n">
        <f aca="false">4/30</f>
        <v>0.133333333333333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71" t="n">
        <f aca="false">4/30</f>
        <v>0.133333333333333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71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71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'!D42</f>
        <v>191.73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550610.532670565</v>
      </c>
      <c r="L4" s="157" t="s">
        <v>1369</v>
      </c>
      <c r="M4" s="252" t="n">
        <f aca="false">J4/M2</f>
        <v>2871.80166207983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70" t="n">
        <f aca="false">((((2*6.95/2)+2.8+1.8+2.05+1.8+0.45)*3)-2.8*1)/30</f>
        <v>1.49166666666667</v>
      </c>
      <c r="F6" s="227" t="s">
        <v>134</v>
      </c>
      <c r="G6" s="71" t="n">
        <f aca="false">E6*$M$2</f>
        <v>285.99725</v>
      </c>
      <c r="H6" s="28" t="n">
        <f aca="false">'APUS ARQUITECTURA'!J5</f>
        <v>135.824337926792</v>
      </c>
      <c r="I6" s="1" t="n">
        <f aca="false">G6*H6</f>
        <v>38845.3871301332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70" t="n">
        <f aca="false">((1*6.95)*3)/30</f>
        <v>0.695</v>
      </c>
      <c r="F7" s="227" t="s">
        <v>134</v>
      </c>
      <c r="G7" s="71" t="n">
        <f aca="false">E7*$M$2</f>
        <v>133.25235</v>
      </c>
      <c r="H7" s="28" t="n">
        <f aca="false">'APUS ARQUITECTURA'!J32</f>
        <v>150.0657</v>
      </c>
      <c r="I7" s="1" t="n">
        <f aca="false">G7*H7</f>
        <v>19996.607179395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70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273" t="n">
        <f aca="false">(((3*1.4)+(4*0.9)+1.95+1.45+2+2)*1.9)/30</f>
        <v>0.962666666666667</v>
      </c>
      <c r="F9" s="227" t="s">
        <v>134</v>
      </c>
      <c r="G9" s="71" t="n">
        <f aca="false">E9*$M$2</f>
        <v>184.57208</v>
      </c>
      <c r="H9" s="28" t="n">
        <f aca="false">'APUS ARQUITECTURA'!J74</f>
        <v>200.942138</v>
      </c>
      <c r="I9" s="1" t="n">
        <f aca="false">G9*H9</f>
        <v>37088.308370307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273" t="n">
        <f aca="false">(2*1.5*0.5)/30</f>
        <v>0.05</v>
      </c>
      <c r="F10" s="227" t="s">
        <v>134</v>
      </c>
      <c r="G10" s="71" t="n">
        <f aca="false">E10*$M$2</f>
        <v>9.5865</v>
      </c>
      <c r="H10" s="28" t="n">
        <f aca="false">'APUS ARQUITECTURA'!J92</f>
        <v>300.227954</v>
      </c>
      <c r="I10" s="1" t="n">
        <f aca="false">G10*H10</f>
        <v>2878.135281021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70"/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70" t="n">
        <f aca="false">((6.95*3.3)+(2.8*2.3))/30</f>
        <v>0.979166666666667</v>
      </c>
      <c r="F14" s="1" t="s">
        <v>134</v>
      </c>
      <c r="G14" s="71" t="n">
        <f aca="false">E14*$M$2</f>
        <v>187.735625</v>
      </c>
      <c r="H14" s="28" t="n">
        <f aca="false">'APUS ARQUITECTURA'!J148</f>
        <v>35.8409626666667</v>
      </c>
      <c r="I14" s="1" t="n">
        <f aca="false">G14*H14</f>
        <v>6728.62552682833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70" t="n">
        <f aca="false">(((6.95+5.2+2.1+2.05+0.45+1.45+1.95+1.15+(0.75*4)+0.3)*3)+(2.8*2))/30</f>
        <v>2.64666666666667</v>
      </c>
      <c r="F16" s="1" t="s">
        <v>134</v>
      </c>
      <c r="G16" s="71" t="n">
        <f aca="false">E16*$M$2</f>
        <v>507.4454</v>
      </c>
      <c r="H16" s="28" t="n">
        <f aca="false">'APUS ARQUITECTURA'!J168</f>
        <v>90.82588</v>
      </c>
      <c r="I16" s="1" t="n">
        <f aca="false">G16*H16</f>
        <v>46089.175006952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70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70" t="n">
        <v>1</v>
      </c>
      <c r="F19" s="1" t="s">
        <v>204</v>
      </c>
      <c r="G19" s="71" t="n">
        <f aca="false">E19*$M$2</f>
        <v>191.73</v>
      </c>
      <c r="H19" s="28" t="n">
        <f aca="false">'APUS ARQUITECTURA'!J212</f>
        <v>62.663358</v>
      </c>
      <c r="I19" s="1" t="n">
        <f aca="false">G19*H19</f>
        <v>12014.44562934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70" t="n">
        <v>1</v>
      </c>
      <c r="F21" s="1" t="s">
        <v>134</v>
      </c>
      <c r="G21" s="71" t="n">
        <f aca="false">E21*$M$2</f>
        <v>191.73</v>
      </c>
      <c r="H21" s="28" t="n">
        <f aca="false">'APUS ARQUITECTURA'!J232</f>
        <v>40.18468579</v>
      </c>
      <c r="I21" s="1" t="n">
        <f aca="false">G21*H21</f>
        <v>7704.6098065167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70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70" t="n">
        <v>1</v>
      </c>
      <c r="F23" s="1" t="s">
        <v>134</v>
      </c>
      <c r="G23" s="71" t="n">
        <f aca="false">E23*$M$2</f>
        <v>191.73</v>
      </c>
      <c r="H23" s="28" t="n">
        <f aca="false">'APUS ARQUITECTURA'!J272</f>
        <v>102.656028</v>
      </c>
      <c r="I23" s="1" t="n">
        <f aca="false">G23*H23</f>
        <v>19682.24024844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70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70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70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70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70" t="n">
        <f aca="false">((2*8+2*6.95)-(4.5))/62</f>
        <v>0.409677419354839</v>
      </c>
      <c r="F29" s="1" t="s">
        <v>145</v>
      </c>
      <c r="G29" s="71" t="n">
        <f aca="false">E29*$M$2</f>
        <v>78.5474516129032</v>
      </c>
      <c r="H29" s="28" t="n">
        <f aca="false">'APUS ARQUITECTURA'!J364</f>
        <v>26.68748</v>
      </c>
      <c r="I29" s="1" t="n">
        <f aca="false">G29*H29</f>
        <v>2096.23354397032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70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70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70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70" t="n">
        <f aca="false">(((17.65*2)+6.95*2-(2*0.9))/(120))</f>
        <v>0.395</v>
      </c>
      <c r="F33" s="1" t="s">
        <v>145</v>
      </c>
      <c r="G33" s="71" t="n">
        <f aca="false">E33*$M$2</f>
        <v>75.73335</v>
      </c>
      <c r="H33" s="28" t="n">
        <f aca="false">'APUS ARQUITECTURA'!J430</f>
        <v>84.43849</v>
      </c>
      <c r="I33" s="1" t="n">
        <f aca="false">G33*H33</f>
        <v>6394.8097166415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77" t="n">
        <f aca="false">((0.9+0.6)*1.9+(1*2.1))/30</f>
        <v>0.165</v>
      </c>
      <c r="F35" s="1" t="s">
        <v>134</v>
      </c>
      <c r="G35" s="71" t="n">
        <f aca="false">E35*$M$2</f>
        <v>31.63545</v>
      </c>
      <c r="H35" s="28" t="n">
        <f aca="false">'APUS ARQUITECTURA'!J449</f>
        <v>560.6226</v>
      </c>
      <c r="I35" s="1" t="n">
        <f aca="false">G35*H35</f>
        <v>17735.54823117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70" t="n">
        <f aca="false">2.8/30</f>
        <v>0.0933333333333333</v>
      </c>
      <c r="F36" s="1" t="s">
        <v>134</v>
      </c>
      <c r="G36" s="71" t="n">
        <f aca="false">E36*$M$2</f>
        <v>17.8948</v>
      </c>
      <c r="H36" s="28" t="n">
        <f aca="false">'APUS ARQUITECTURA'!J456</f>
        <v>367.870834240906</v>
      </c>
      <c r="I36" s="1" t="n">
        <f aca="false">G36*H36</f>
        <v>6582.97500457417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80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273" t="n">
        <v>0.13</v>
      </c>
      <c r="F38" s="1" t="s">
        <v>145</v>
      </c>
      <c r="G38" s="71" t="n">
        <f aca="false">E38*$M$2</f>
        <v>24.9249</v>
      </c>
      <c r="H38" s="28" t="n">
        <f aca="false">'APUS ARQUITECTURA'!J470</f>
        <v>622.13</v>
      </c>
      <c r="I38" s="1" t="n">
        <f aca="false">G38*H38</f>
        <v>15506.528037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70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70" t="n">
        <f aca="false">1.13+E19</f>
        <v>2.13</v>
      </c>
      <c r="F41" s="1" t="s">
        <v>134</v>
      </c>
      <c r="G41" s="71" t="n">
        <f aca="false">E41*$M$2</f>
        <v>408.3849</v>
      </c>
      <c r="H41" s="28" t="n">
        <f aca="false">'APUS ARQUITECTURA'!J484</f>
        <v>15.625164</v>
      </c>
      <c r="I41" s="1" t="n">
        <f aca="false">G41*H41</f>
        <v>6381.0810376236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70" t="n">
        <f aca="false">E14</f>
        <v>0.979166666666667</v>
      </c>
      <c r="F42" s="109" t="s">
        <v>134</v>
      </c>
      <c r="G42" s="71" t="n">
        <f aca="false">E42*$M$2</f>
        <v>187.735625</v>
      </c>
      <c r="H42" s="28" t="n">
        <f aca="false">'APUS ARQUITECTURA'!J504</f>
        <v>15.9562854545455</v>
      </c>
      <c r="I42" s="1" t="n">
        <f aca="false">G42*H42</f>
        <v>2995.5632224875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70" t="n">
        <f aca="false">30/42.5</f>
        <v>0.705882352941177</v>
      </c>
      <c r="F44" s="1" t="s">
        <v>1389</v>
      </c>
      <c r="G44" s="71" t="n">
        <f aca="false">E44*$M$2</f>
        <v>135.338823529412</v>
      </c>
      <c r="H44" s="28" t="n">
        <f aca="false">'APUS SANITARIAS'!J5</f>
        <v>193.333333333333</v>
      </c>
      <c r="I44" s="1" t="n">
        <f aca="false">G44*H44</f>
        <v>26165.5058823529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70" t="n">
        <f aca="false">30/42.5</f>
        <v>0.705882352941177</v>
      </c>
      <c r="F45" s="1" t="s">
        <v>1389</v>
      </c>
      <c r="G45" s="71" t="n">
        <f aca="false">E45*$M$2</f>
        <v>135.338823529412</v>
      </c>
      <c r="H45" s="28" t="n">
        <f aca="false">'APUS SANITARIAS'!J12</f>
        <v>192.42</v>
      </c>
      <c r="I45" s="1" t="n">
        <f aca="false">G45*H45</f>
        <v>26041.8964235294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70" t="n">
        <f aca="false">30/42.5</f>
        <v>0.705882352941177</v>
      </c>
      <c r="F46" s="1" t="s">
        <v>1389</v>
      </c>
      <c r="G46" s="71" t="n">
        <f aca="false">E46*$M$2</f>
        <v>135.338823529412</v>
      </c>
      <c r="H46" s="28" t="n">
        <f aca="false">'APUS SANITARIAS'!J19</f>
        <v>67.5216666666667</v>
      </c>
      <c r="I46" s="1" t="n">
        <f aca="false">G46*H46</f>
        <v>9138.30292941176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70" t="n">
        <v>0.15</v>
      </c>
      <c r="F47" s="1" t="s">
        <v>155</v>
      </c>
      <c r="G47" s="71" t="n">
        <f aca="false">E47*$M$2</f>
        <v>28.7595</v>
      </c>
      <c r="H47" s="28" t="n">
        <f aca="false">'APUS SANITARIAS'!J26</f>
        <v>750</v>
      </c>
      <c r="I47" s="1" t="n">
        <f aca="false">G47*H47</f>
        <v>21569.625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70" t="n">
        <f aca="false">35/42.5</f>
        <v>0.823529411764706</v>
      </c>
      <c r="F48" s="1" t="s">
        <v>215</v>
      </c>
      <c r="G48" s="71" t="n">
        <f aca="false">E48*$M$2</f>
        <v>157.895294117647</v>
      </c>
      <c r="H48" s="28" t="n">
        <f aca="false">'APUS SANITARIAS'!J32</f>
        <v>131.737813333333</v>
      </c>
      <c r="I48" s="1" t="n">
        <f aca="false">G48*H48</f>
        <v>20800.7807826824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70" t="n">
        <f aca="false">8/30</f>
        <v>0.266666666666667</v>
      </c>
      <c r="F49" s="1" t="s">
        <v>215</v>
      </c>
      <c r="G49" s="71" t="n">
        <f aca="false">E49*$M$2</f>
        <v>51.128</v>
      </c>
      <c r="H49" s="28" t="n">
        <f aca="false">'APUS SANITARIAS'!J50</f>
        <v>210.60376</v>
      </c>
      <c r="I49" s="1" t="n">
        <f aca="false">G49*H49</f>
        <v>10767.74904128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70" t="n">
        <v>1.2</v>
      </c>
      <c r="F50" s="1" t="s">
        <v>155</v>
      </c>
      <c r="G50" s="71" t="n">
        <f aca="false">E50*$M$2</f>
        <v>230.076</v>
      </c>
      <c r="H50" s="28" t="n">
        <f aca="false">'APUS SANITARIAS'!J69</f>
        <v>200</v>
      </c>
      <c r="I50" s="1" t="n">
        <f aca="false">G50*H50</f>
        <v>46015.2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70" t="n">
        <v>0.08</v>
      </c>
      <c r="F51" s="1" t="s">
        <v>155</v>
      </c>
      <c r="G51" s="71" t="n">
        <f aca="false">E51*$M$2</f>
        <v>15.3384</v>
      </c>
      <c r="H51" s="28" t="n">
        <f aca="false">'APUS SANITARIAS'!J76</f>
        <v>537.217104</v>
      </c>
      <c r="I51" s="1" t="n">
        <f aca="false">G51*H51</f>
        <v>8240.0508279936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70" t="n">
        <f aca="false">12/125</f>
        <v>0.096</v>
      </c>
      <c r="F52" s="1" t="s">
        <v>215</v>
      </c>
      <c r="G52" s="71" t="n">
        <f aca="false">E52*$M$2</f>
        <v>18.40608</v>
      </c>
      <c r="H52" s="28" t="n">
        <f aca="false">'APUS SANITARIAS'!J91</f>
        <v>158.148033208747</v>
      </c>
      <c r="I52" s="1" t="n">
        <f aca="false">G52*H52</f>
        <v>2910.88535108285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70" t="n">
        <f aca="false">35/42.5</f>
        <v>0.823529411764706</v>
      </c>
      <c r="F53" s="1" t="s">
        <v>215</v>
      </c>
      <c r="G53" s="71" t="n">
        <f aca="false">E53*$M$2</f>
        <v>157.895294117647</v>
      </c>
      <c r="H53" s="28" t="n">
        <f aca="false">'APUS SANITARIAS'!J108</f>
        <v>138.64528</v>
      </c>
      <c r="I53" s="1" t="n">
        <f aca="false">G53*H53</f>
        <v>21891.4372636235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70" t="n">
        <f aca="false">35/42.5</f>
        <v>0.823529411764706</v>
      </c>
      <c r="F54" s="1" t="s">
        <v>215</v>
      </c>
      <c r="G54" s="71" t="n">
        <f aca="false">E54*$M$2</f>
        <v>157.895294117647</v>
      </c>
      <c r="H54" s="28" t="n">
        <f aca="false">'APUS SANITARIAS'!J127</f>
        <v>145.93578</v>
      </c>
      <c r="I54" s="1" t="n">
        <f aca="false">G54*H54</f>
        <v>23042.5729053882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70" t="n">
        <f aca="false">35/42.5</f>
        <v>0.823529411764706</v>
      </c>
      <c r="F55" s="1" t="s">
        <v>215</v>
      </c>
      <c r="G55" s="71" t="n">
        <f aca="false">E55*$M$2</f>
        <v>157.895294117647</v>
      </c>
      <c r="H55" s="28" t="n">
        <f aca="false">'APUS SANITARIAS'!J145</f>
        <v>141.07118</v>
      </c>
      <c r="I55" s="1" t="n">
        <f aca="false">G55*H55</f>
        <v>22274.4754576235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70" t="n">
        <f aca="false">7/30</f>
        <v>0.233333333333333</v>
      </c>
      <c r="F56" s="1" t="s">
        <v>150</v>
      </c>
      <c r="G56" s="71" t="n">
        <f aca="false">E56*$M$2</f>
        <v>44.737</v>
      </c>
      <c r="H56" s="28" t="n">
        <f aca="false">'APUS SANITARIAS'!J163</f>
        <v>214.33092</v>
      </c>
      <c r="I56" s="1" t="n">
        <f aca="false">G56*H56</f>
        <v>9588.52236804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70" t="n">
        <f aca="false">7/30</f>
        <v>0.233333333333333</v>
      </c>
      <c r="F57" s="1" t="s">
        <v>150</v>
      </c>
      <c r="G57" s="71" t="n">
        <f aca="false">E57*$M$2</f>
        <v>44.737</v>
      </c>
      <c r="H57" s="28" t="n">
        <f aca="false">'APUS SANITARIAS'!J178</f>
        <v>101.513743136387</v>
      </c>
      <c r="I57" s="1" t="n">
        <f aca="false">G57*H57</f>
        <v>4541.42032669255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70" t="n">
        <f aca="false">14/30</f>
        <v>0.466666666666667</v>
      </c>
      <c r="F59" s="1" t="s">
        <v>215</v>
      </c>
      <c r="G59" s="71" t="n">
        <f aca="false">E59*$M$2</f>
        <v>89.474</v>
      </c>
      <c r="H59" s="28" t="n">
        <f aca="false">'APUS ELECTRICAS'!J5</f>
        <v>121.043104</v>
      </c>
      <c r="I59" s="1" t="n">
        <f aca="false">G59*H59</f>
        <v>10830.210687296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70" t="n">
        <f aca="false">14/30</f>
        <v>0.466666666666667</v>
      </c>
      <c r="F60" s="1" t="s">
        <v>215</v>
      </c>
      <c r="G60" s="71" t="n">
        <f aca="false">E60*$M$2</f>
        <v>89.474</v>
      </c>
      <c r="H60" s="28" t="n">
        <f aca="false">'APUS ELECTRICAS'!J26</f>
        <v>163.73838</v>
      </c>
      <c r="I60" s="1" t="n">
        <f aca="false">G60*H60</f>
        <v>14650.32781212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70" t="n">
        <f aca="false">14/30</f>
        <v>0.466666666666667</v>
      </c>
      <c r="F61" s="1" t="s">
        <v>215</v>
      </c>
      <c r="G61" s="71" t="n">
        <f aca="false">E61*$M$2</f>
        <v>89.474</v>
      </c>
      <c r="H61" s="28" t="n">
        <f aca="false">'APUS ELECTRICAS'!J48</f>
        <v>118.3069</v>
      </c>
      <c r="I61" s="1" t="n">
        <f aca="false">G61*H61</f>
        <v>10585.3915706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71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71" t="n">
        <f aca="false">4/30</f>
        <v>0.133333333333333</v>
      </c>
      <c r="F64" s="1" t="s">
        <v>150</v>
      </c>
      <c r="G64" s="71" t="n">
        <f aca="false">E64*$M$2</f>
        <v>25.564</v>
      </c>
      <c r="H64" s="28" t="n">
        <f aca="false">'APUS ELECTRICAS'!J74</f>
        <v>396.145032</v>
      </c>
      <c r="I64" s="1" t="n">
        <f aca="false">G64*H64</f>
        <v>10127.051598048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71" t="n">
        <f aca="false">4/30</f>
        <v>0.133333333333333</v>
      </c>
      <c r="F65" s="1" t="s">
        <v>150</v>
      </c>
      <c r="G65" s="71" t="n">
        <f aca="false">E65*$M$2</f>
        <v>25.564</v>
      </c>
      <c r="H65" s="28" t="n">
        <f aca="false">'APUS ELECTRICAS'!J88</f>
        <v>105.9636</v>
      </c>
      <c r="I65" s="1" t="n">
        <f aca="false">G65*H65</f>
        <v>2708.8534704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71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71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'!D43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70" t="n">
        <f aca="false">((((2*6.95/2)+2.8+1.8+2.05+1.8+0.45)*3)-2.8*1)/30</f>
        <v>1.49166666666667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70" t="n">
        <f aca="false">((1*6.95)*3)/30</f>
        <v>0.695</v>
      </c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70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273" t="n">
        <f aca="false">(((3*1.4)+(4*0.9)+1.95+1.45+2+2)*1.9)/30</f>
        <v>0.962666666666667</v>
      </c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273" t="n">
        <f aca="false">(2*1.5*0.5)/30</f>
        <v>0.05</v>
      </c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70"/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70" t="n">
        <f aca="false">((6.95*3.3)+(2.8*2.3))/30</f>
        <v>0.979166666666667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70" t="n">
        <f aca="false">(((6.95+5.2+2.1+2.05+0.45+1.45+1.95+1.15+(0.75*4)+0.3)*3)+(2.8*2))/30</f>
        <v>2.64666666666667</v>
      </c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70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70" t="n">
        <v>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70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70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70" t="n">
        <v>1</v>
      </c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70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70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70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70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70" t="n">
        <f aca="false">((2*8+2*6.95)-(4.5))/62</f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70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70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70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70" t="n">
        <f aca="false">(((17.65*2)+6.95*2-(2*0.9))/(120))</f>
        <v>0.395</v>
      </c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77" t="n">
        <f aca="false">((0.9+0.6)*1.9+(1*2.1))/30</f>
        <v>0.165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70" t="n">
        <f aca="false">2.8/30</f>
        <v>0.0933333333333333</v>
      </c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80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273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70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70" t="n">
        <f aca="false">1.13+E19</f>
        <v>2.13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70" t="n">
        <f aca="false">E14</f>
        <v>0.979166666666667</v>
      </c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70" t="n">
        <f aca="false">30/42.5</f>
        <v>0.705882352941177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1020</v>
      </c>
      <c r="E45" s="270"/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987</v>
      </c>
      <c r="E46" s="270" t="n">
        <f aca="false">30/42.5</f>
        <v>0.705882352941177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70" t="n">
        <v>0.15</v>
      </c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70" t="n">
        <f aca="false">35/42.5</f>
        <v>0.823529411764706</v>
      </c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70" t="n">
        <f aca="false">8/30</f>
        <v>0.266666666666667</v>
      </c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70" t="n">
        <v>1.2</v>
      </c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70" t="n">
        <v>0.08</v>
      </c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70" t="n">
        <f aca="false">12/125</f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70" t="n">
        <f aca="false">35/42.5</f>
        <v>0.823529411764706</v>
      </c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70" t="n">
        <f aca="false">35/42.5</f>
        <v>0.823529411764706</v>
      </c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70" t="n">
        <f aca="false">35/42.5</f>
        <v>0.823529411764706</v>
      </c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70" t="n">
        <f aca="false">7/30</f>
        <v>0.233333333333333</v>
      </c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70" t="n">
        <f aca="false">7/30</f>
        <v>0.233333333333333</v>
      </c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70" t="n">
        <f aca="false">14/30</f>
        <v>0.466666666666667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70" t="n">
        <f aca="false">14/30</f>
        <v>0.466666666666667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70" t="n">
        <f aca="false">14/30</f>
        <v>0.466666666666667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71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71" t="n">
        <f aca="false">4/30</f>
        <v>0.133333333333333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71" t="n">
        <f aca="false">4/30</f>
        <v>0.133333333333333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71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71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'!D44</f>
        <v>55.9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113727.345532491</v>
      </c>
      <c r="L4" s="157" t="s">
        <v>1369</v>
      </c>
      <c r="M4" s="252" t="n">
        <f aca="false">J4/M2</f>
        <v>2034.47845317515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70" t="n">
        <v>1.55</v>
      </c>
      <c r="F6" s="227" t="s">
        <v>134</v>
      </c>
      <c r="G6" s="71" t="n">
        <f aca="false">E6*$M$2</f>
        <v>86.645</v>
      </c>
      <c r="H6" s="28" t="n">
        <f aca="false">'APUS ARQUITECTURA'!J5</f>
        <v>135.824337926792</v>
      </c>
      <c r="I6" s="1" t="n">
        <f aca="false">G6*H6</f>
        <v>11768.4997596669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70"/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70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273" t="n">
        <v>0.752941176470588</v>
      </c>
      <c r="F9" s="227" t="s">
        <v>134</v>
      </c>
      <c r="G9" s="71" t="n">
        <f aca="false">E9*$M$2</f>
        <v>42.0894117647059</v>
      </c>
      <c r="H9" s="28" t="n">
        <f aca="false">'APUS ARQUITECTURA'!J74</f>
        <v>200.942138</v>
      </c>
      <c r="I9" s="1" t="n">
        <f aca="false">G9*H9</f>
        <v>8457.53638716235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273" t="n">
        <v>0.0705882352941177</v>
      </c>
      <c r="F10" s="227" t="s">
        <v>134</v>
      </c>
      <c r="G10" s="71" t="n">
        <f aca="false">E10*$M$2</f>
        <v>3.94588235294118</v>
      </c>
      <c r="H10" s="28" t="n">
        <f aca="false">'APUS ARQUITECTURA'!J92</f>
        <v>300.227954</v>
      </c>
      <c r="I10" s="1" t="n">
        <f aca="false">G10*H10</f>
        <v>1184.66418554824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70"/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70" t="n">
        <v>0.621176470588235</v>
      </c>
      <c r="F14" s="1" t="s">
        <v>134</v>
      </c>
      <c r="G14" s="71" t="n">
        <f aca="false">E14*$M$2</f>
        <v>34.7237647058823</v>
      </c>
      <c r="H14" s="28" t="n">
        <f aca="false">'APUS ARQUITECTURA'!J148</f>
        <v>35.8409626666667</v>
      </c>
      <c r="I14" s="1" t="n">
        <f aca="false">G14*H14</f>
        <v>1244.53315446965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70" t="n">
        <v>1.68402941176471</v>
      </c>
      <c r="F16" s="1" t="s">
        <v>134</v>
      </c>
      <c r="G16" s="71" t="n">
        <f aca="false">E16*$M$2</f>
        <v>94.1372441176471</v>
      </c>
      <c r="H16" s="28" t="n">
        <f aca="false">'APUS ARQUITECTURA'!J168</f>
        <v>90.82588</v>
      </c>
      <c r="I16" s="1" t="n">
        <f aca="false">G16*H16</f>
        <v>8550.09803776012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70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70" t="n">
        <v>1</v>
      </c>
      <c r="F19" s="1" t="s">
        <v>204</v>
      </c>
      <c r="G19" s="71" t="n">
        <f aca="false">E19*$M$2</f>
        <v>55.9</v>
      </c>
      <c r="H19" s="28" t="n">
        <f aca="false">'APUS ARQUITECTURA'!J212</f>
        <v>62.663358</v>
      </c>
      <c r="I19" s="1" t="n">
        <f aca="false">G19*H19</f>
        <v>3502.8817122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70" t="n">
        <v>1</v>
      </c>
      <c r="F21" s="1" t="s">
        <v>134</v>
      </c>
      <c r="G21" s="71" t="n">
        <f aca="false">E21*$M$2</f>
        <v>55.9</v>
      </c>
      <c r="H21" s="28" t="n">
        <f aca="false">'APUS ARQUITECTURA'!J232</f>
        <v>40.18468579</v>
      </c>
      <c r="I21" s="1" t="n">
        <f aca="false">G21*H21</f>
        <v>2246.323935661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70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70" t="n">
        <v>1</v>
      </c>
      <c r="F23" s="1" t="s">
        <v>134</v>
      </c>
      <c r="G23" s="71" t="n">
        <f aca="false">E23*$M$2</f>
        <v>55.9</v>
      </c>
      <c r="H23" s="28" t="n">
        <f aca="false">'APUS ARQUITECTURA'!J272</f>
        <v>102.656028</v>
      </c>
      <c r="I23" s="1" t="n">
        <f aca="false">G23*H23</f>
        <v>5738.4719652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70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70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70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70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70" t="n">
        <v>0.409677419354839</v>
      </c>
      <c r="F29" s="1" t="s">
        <v>145</v>
      </c>
      <c r="G29" s="71" t="n">
        <f aca="false">E29*$M$2</f>
        <v>22.9009677419355</v>
      </c>
      <c r="H29" s="28" t="n">
        <f aca="false">'APUS ARQUITECTURA'!J364</f>
        <v>26.68748</v>
      </c>
      <c r="I29" s="1" t="n">
        <f aca="false">G29*H29</f>
        <v>611.169118593548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70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70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70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70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77" t="n">
        <v>0.265098039215686</v>
      </c>
      <c r="F35" s="1" t="s">
        <v>134</v>
      </c>
      <c r="G35" s="71" t="n">
        <f aca="false">E35*$M$2</f>
        <v>14.8189803921569</v>
      </c>
      <c r="H35" s="28" t="n">
        <f aca="false">'APUS ARQUITECTURA'!J449</f>
        <v>560.6226</v>
      </c>
      <c r="I35" s="1" t="n">
        <f aca="false">G35*H35</f>
        <v>8307.8553168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70"/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80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273" t="n">
        <v>0.13</v>
      </c>
      <c r="F38" s="1" t="s">
        <v>145</v>
      </c>
      <c r="G38" s="71" t="n">
        <f aca="false">E38*$M$2</f>
        <v>7.267</v>
      </c>
      <c r="H38" s="28" t="n">
        <f aca="false">'APUS ARQUITECTURA'!J470</f>
        <v>622.13</v>
      </c>
      <c r="I38" s="1" t="n">
        <f aca="false">G38*H38</f>
        <v>4521.01871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70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70" t="n">
        <v>1.06458333333333</v>
      </c>
      <c r="F41" s="1" t="s">
        <v>134</v>
      </c>
      <c r="G41" s="71" t="n">
        <f aca="false">E41*$M$2</f>
        <v>59.5102083333333</v>
      </c>
      <c r="H41" s="28" t="n">
        <f aca="false">'APUS ARQUITECTURA'!J484</f>
        <v>15.625164</v>
      </c>
      <c r="I41" s="1" t="n">
        <f aca="false">G41*H41</f>
        <v>929.8567648825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70" t="n">
        <v>0.621176470588235</v>
      </c>
      <c r="F42" s="109" t="s">
        <v>134</v>
      </c>
      <c r="G42" s="71" t="n">
        <f aca="false">E42*$M$2</f>
        <v>34.7237647058823</v>
      </c>
      <c r="H42" s="28" t="n">
        <f aca="false">'APUS ARQUITECTURA'!J504</f>
        <v>15.9562854545455</v>
      </c>
      <c r="I42" s="1" t="n">
        <f aca="false">G42*H42</f>
        <v>554.062301703529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70" t="n">
        <v>0.352941176470588</v>
      </c>
      <c r="F44" s="1" t="s">
        <v>1389</v>
      </c>
      <c r="G44" s="71" t="n">
        <f aca="false">E44*$M$2</f>
        <v>19.7294117647059</v>
      </c>
      <c r="H44" s="28" t="n">
        <f aca="false">'APUS SANITARIAS'!J5</f>
        <v>193.333333333333</v>
      </c>
      <c r="I44" s="1" t="n">
        <f aca="false">G44*H44</f>
        <v>3814.35294117647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70" t="n">
        <v>0.352941176470588</v>
      </c>
      <c r="F45" s="1" t="s">
        <v>1389</v>
      </c>
      <c r="G45" s="71" t="n">
        <f aca="false">E45*$M$2</f>
        <v>19.7294117647059</v>
      </c>
      <c r="H45" s="28" t="n">
        <f aca="false">'APUS SANITARIAS'!J12</f>
        <v>192.42</v>
      </c>
      <c r="I45" s="1" t="n">
        <f aca="false">G45*H45</f>
        <v>3796.33341176471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70" t="n">
        <v>0.352941176470588</v>
      </c>
      <c r="F46" s="1" t="s">
        <v>1389</v>
      </c>
      <c r="G46" s="71" t="n">
        <f aca="false">E46*$M$2</f>
        <v>19.7294117647059</v>
      </c>
      <c r="H46" s="28" t="n">
        <f aca="false">'APUS SANITARIAS'!J19</f>
        <v>67.5216666666667</v>
      </c>
      <c r="I46" s="1" t="n">
        <f aca="false">G46*H46</f>
        <v>1332.16276470588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70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70" t="n">
        <v>0.627450980392157</v>
      </c>
      <c r="F48" s="1" t="s">
        <v>215</v>
      </c>
      <c r="G48" s="71" t="n">
        <f aca="false">E48*$M$2</f>
        <v>35.0745098039216</v>
      </c>
      <c r="H48" s="28" t="n">
        <f aca="false">'APUS SANITARIAS'!J32</f>
        <v>131.737813333333</v>
      </c>
      <c r="I48" s="1" t="n">
        <f aca="false">G48*H48</f>
        <v>4620.63922530719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70" t="n">
        <v>0.156862745098039</v>
      </c>
      <c r="F49" s="1" t="s">
        <v>215</v>
      </c>
      <c r="G49" s="71" t="n">
        <f aca="false">E49*$M$2</f>
        <v>8.76862745098039</v>
      </c>
      <c r="H49" s="28" t="n">
        <f aca="false">'APUS SANITARIAS'!J50</f>
        <v>210.60376</v>
      </c>
      <c r="I49" s="1" t="n">
        <f aca="false">G49*H49</f>
        <v>1846.70591121569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70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70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70" t="n">
        <v>0.096</v>
      </c>
      <c r="F52" s="1" t="s">
        <v>215</v>
      </c>
      <c r="G52" s="71" t="n">
        <f aca="false">E52*$M$2</f>
        <v>5.3664</v>
      </c>
      <c r="H52" s="28" t="n">
        <f aca="false">'APUS SANITARIAS'!J91</f>
        <v>158.148033208747</v>
      </c>
      <c r="I52" s="1" t="n">
        <f aca="false">G52*H52</f>
        <v>848.685605411418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70" t="n">
        <v>0.549019607843137</v>
      </c>
      <c r="F53" s="1" t="s">
        <v>215</v>
      </c>
      <c r="G53" s="71" t="n">
        <f aca="false">E53*$M$2</f>
        <v>30.6901960784314</v>
      </c>
      <c r="H53" s="28" t="n">
        <f aca="false">'APUS SANITARIAS'!J108</f>
        <v>138.64528</v>
      </c>
      <c r="I53" s="1" t="n">
        <f aca="false">G53*H53</f>
        <v>4255.05082854902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70" t="n">
        <v>0.549019607843137</v>
      </c>
      <c r="F54" s="1" t="s">
        <v>215</v>
      </c>
      <c r="G54" s="71" t="n">
        <f aca="false">E54*$M$2</f>
        <v>30.6901960784314</v>
      </c>
      <c r="H54" s="28" t="n">
        <f aca="false">'APUS SANITARIAS'!J127</f>
        <v>145.93578</v>
      </c>
      <c r="I54" s="1" t="n">
        <f aca="false">G54*H54</f>
        <v>4478.79770305882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70" t="n">
        <v>0.549019607843137</v>
      </c>
      <c r="F55" s="1" t="s">
        <v>215</v>
      </c>
      <c r="G55" s="71" t="n">
        <f aca="false">E55*$M$2</f>
        <v>30.6901960784314</v>
      </c>
      <c r="H55" s="28" t="n">
        <f aca="false">'APUS SANITARIAS'!J145</f>
        <v>141.07118</v>
      </c>
      <c r="I55" s="1" t="n">
        <f aca="false">G55*H55</f>
        <v>4329.50217521569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70" t="n">
        <v>0.117647058823529</v>
      </c>
      <c r="F56" s="1" t="s">
        <v>150</v>
      </c>
      <c r="G56" s="71" t="n">
        <f aca="false">E56*$M$2</f>
        <v>6.57647058823529</v>
      </c>
      <c r="H56" s="28" t="n">
        <f aca="false">'APUS SANITARIAS'!J163</f>
        <v>214.33092</v>
      </c>
      <c r="I56" s="1" t="n">
        <f aca="false">G56*H56</f>
        <v>1409.54099152941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70" t="n">
        <v>0.117647058823529</v>
      </c>
      <c r="F57" s="1" t="s">
        <v>150</v>
      </c>
      <c r="G57" s="71" t="n">
        <f aca="false">E57*$M$2</f>
        <v>6.57647058823529</v>
      </c>
      <c r="H57" s="28" t="n">
        <f aca="false">'APUS SANITARIAS'!J178</f>
        <v>101.513743136387</v>
      </c>
      <c r="I57" s="1" t="n">
        <f aca="false">G57*H57</f>
        <v>667.602146038122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70" t="n">
        <v>0.705882352941177</v>
      </c>
      <c r="F59" s="1" t="s">
        <v>215</v>
      </c>
      <c r="G59" s="71" t="n">
        <f aca="false">E59*$M$2</f>
        <v>39.4588235294118</v>
      </c>
      <c r="H59" s="28" t="n">
        <f aca="false">'APUS ELECTRICAS'!J5</f>
        <v>121.043104</v>
      </c>
      <c r="I59" s="1" t="n">
        <f aca="false">G59*H59</f>
        <v>4776.21848018824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70" t="n">
        <v>0.705882352941177</v>
      </c>
      <c r="F60" s="1" t="s">
        <v>215</v>
      </c>
      <c r="G60" s="71" t="n">
        <f aca="false">E60*$M$2</f>
        <v>39.4588235294118</v>
      </c>
      <c r="H60" s="28" t="n">
        <f aca="false">'APUS ELECTRICAS'!J26</f>
        <v>163.73838</v>
      </c>
      <c r="I60" s="1" t="n">
        <f aca="false">G60*H60</f>
        <v>6460.92384141177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70" t="n">
        <v>0.705882352941177</v>
      </c>
      <c r="F61" s="1" t="s">
        <v>215</v>
      </c>
      <c r="G61" s="71" t="n">
        <f aca="false">E61*$M$2</f>
        <v>39.4588235294118</v>
      </c>
      <c r="H61" s="28" t="n">
        <f aca="false">'APUS ELECTRICAS'!J48</f>
        <v>118.3069</v>
      </c>
      <c r="I61" s="1" t="n">
        <f aca="false">G61*H61</f>
        <v>4668.25108941176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70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70" t="n">
        <v>0.313725490196078</v>
      </c>
      <c r="F64" s="1" t="s">
        <v>150</v>
      </c>
      <c r="G64" s="71" t="n">
        <f aca="false">E64*$M$2</f>
        <v>17.5372549019608</v>
      </c>
      <c r="H64" s="28" t="n">
        <f aca="false">'APUS ELECTRICAS'!J74</f>
        <v>396.145032</v>
      </c>
      <c r="I64" s="1" t="n">
        <f aca="false">G64*H64</f>
        <v>6947.29640432941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70" t="n">
        <v>0.313725490196078</v>
      </c>
      <c r="F65" s="1" t="s">
        <v>150</v>
      </c>
      <c r="G65" s="71" t="n">
        <f aca="false">E65*$M$2</f>
        <v>17.5372549019608</v>
      </c>
      <c r="H65" s="28" t="n">
        <f aca="false">'APUS ELECTRICAS'!J88</f>
        <v>105.9636</v>
      </c>
      <c r="I65" s="1" t="n">
        <f aca="false">G65*H65</f>
        <v>1858.31066352941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70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70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'!D45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70" t="n">
        <v>1.55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70"/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70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273" t="n">
        <v>0.752941176470588</v>
      </c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273" t="n">
        <v>0.0705882352941177</v>
      </c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70"/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70" t="n">
        <v>0.621176470588235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70" t="n">
        <v>1.68402941176471</v>
      </c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70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70" t="n">
        <v>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70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70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70" t="n">
        <v>1</v>
      </c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70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70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70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70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70" t="n"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70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70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70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70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77" t="n">
        <v>0.265098039215686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70"/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80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273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70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70" t="n">
        <v>1.06458333333333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70" t="n">
        <v>0.621176470588235</v>
      </c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70" t="n">
        <v>0.352941176470588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1020</v>
      </c>
      <c r="E45" s="270"/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70" t="n">
        <v>0.352941176470588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70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70" t="n">
        <v>0.627450980392157</v>
      </c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70" t="n">
        <v>0.156862745098039</v>
      </c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70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70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70" t="n"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70" t="n">
        <v>0.549019607843137</v>
      </c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70" t="n">
        <v>0.549019607843137</v>
      </c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70" t="n">
        <v>0.549019607843137</v>
      </c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70" t="n">
        <v>0.117647058823529</v>
      </c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70" t="n">
        <v>0.117647058823529</v>
      </c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70" t="n">
        <v>0.705882352941177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70" t="n">
        <v>0.705882352941177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70" t="n">
        <v>0.705882352941177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70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70" t="n">
        <v>0.313725490196078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70" t="n">
        <v>0.313725490196078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70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70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'!D46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((2*2.25*3)-(1*2)-(0.75*2.1))/9</f>
        <v>1.10277777777778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53" t="n">
        <f aca="false">(2*(4/2)*3)/9</f>
        <v>1.33333333333333</v>
      </c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53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v>2.84</v>
      </c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((2*2.25*3.3)-(2*1)-(0.75*1))/9</f>
        <v>1.34444444444444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 t="n">
        <f aca="false">(2*(2.25+4)*3)/9</f>
        <v>4.16666666666667</v>
      </c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 t="n">
        <v>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 t="n">
        <v>1</v>
      </c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 t="n">
        <f aca="false">(((17.65*2)+6.95*2-(2*0.9))/(120))</f>
        <v>0.395</v>
      </c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v>0.16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 t="n">
        <f aca="false">(1*2)/9</f>
        <v>0.222222222222222</v>
      </c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v>2.84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 t="n">
        <f aca="false">E14</f>
        <v>1.34444444444444</v>
      </c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false" outlineLevel="0" collapsed="false">
      <c r="A44" s="1" t="s">
        <v>983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L44" s="28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false" outlineLevel="0" collapsed="false">
      <c r="A45" s="1" t="s">
        <v>985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L45" s="28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9"/>
      <c r="AV45" s="69"/>
      <c r="AW45" s="69"/>
      <c r="AX45" s="69"/>
      <c r="AY45" s="69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53" t="n">
        <f aca="false">1/9</f>
        <v>0.111111111111111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 t="n">
        <f aca="false">1/9</f>
        <v>0.111111111111111</v>
      </c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 t="n">
        <f aca="false">1/9</f>
        <v>0.111111111111111</v>
      </c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 t="n">
        <f aca="false">2/9</f>
        <v>0.222222222222222</v>
      </c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 t="n">
        <f aca="false">2/9</f>
        <v>0.222222222222222</v>
      </c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 t="n">
        <f aca="false">2/9</f>
        <v>0.222222222222222</v>
      </c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 t="n">
        <f aca="false">1/9</f>
        <v>0.111111111111111</v>
      </c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 t="n">
        <f aca="false">1/9</f>
        <v>0.111111111111111</v>
      </c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6/9</f>
        <v>0.666666666666667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6/9</f>
        <v>0.666666666666667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6/9</f>
        <v>0.666666666666667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1/9</f>
        <v>0.111111111111111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1/9</f>
        <v>0.111111111111111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'!D47</f>
        <v>45.73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88551.2705307064</v>
      </c>
      <c r="L4" s="157" t="s">
        <v>1369</v>
      </c>
      <c r="M4" s="252" t="n">
        <f aca="false">J4/M2</f>
        <v>1936.39340762533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((2*2.25*3)-(1*2)-(0.75*2.1))/9</f>
        <v>1.10277777777778</v>
      </c>
      <c r="F6" s="227" t="s">
        <v>134</v>
      </c>
      <c r="G6" s="71" t="n">
        <f aca="false">E6*$M$2</f>
        <v>50.4300277777778</v>
      </c>
      <c r="H6" s="28" t="n">
        <f aca="false">'APUS ARQUITECTURA'!J5</f>
        <v>135.824337926792</v>
      </c>
      <c r="I6" s="1" t="n">
        <f aca="false">G6*H6</f>
        <v>6849.6251345464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53" t="n">
        <f aca="false">(2*(4/2)*3)/9</f>
        <v>1.33333333333333</v>
      </c>
      <c r="F7" s="227" t="s">
        <v>134</v>
      </c>
      <c r="G7" s="71" t="n">
        <f aca="false">E7*$M$2</f>
        <v>60.9733333333333</v>
      </c>
      <c r="H7" s="28" t="n">
        <f aca="false">'APUS ARQUITECTURA'!J32</f>
        <v>150.0657</v>
      </c>
      <c r="I7" s="1" t="n">
        <f aca="false">G7*H7</f>
        <v>9150.005948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53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v>2.84</v>
      </c>
      <c r="F13" s="1" t="s">
        <v>134</v>
      </c>
      <c r="G13" s="71" t="n">
        <f aca="false">E13*$M$2</f>
        <v>129.8732</v>
      </c>
      <c r="H13" s="28" t="n">
        <f aca="false">'APUS ARQUITECTURA'!J127</f>
        <v>27.1229651333333</v>
      </c>
      <c r="I13" s="1" t="n">
        <f aca="false">G13*H13</f>
        <v>3522.54627535443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((2*2.25*3.3)-(2*1)-(0.75*1))/9</f>
        <v>1.34444444444444</v>
      </c>
      <c r="F14" s="1" t="s">
        <v>134</v>
      </c>
      <c r="G14" s="71" t="n">
        <f aca="false">E14*$M$2</f>
        <v>61.4814444444444</v>
      </c>
      <c r="H14" s="28" t="n">
        <f aca="false">'APUS ARQUITECTURA'!J148</f>
        <v>35.8409626666667</v>
      </c>
      <c r="I14" s="1" t="n">
        <f aca="false">G14*H14</f>
        <v>2203.55415502607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 t="n">
        <f aca="false">(2*(2.25+4)*3)/9</f>
        <v>4.16666666666667</v>
      </c>
      <c r="F16" s="1" t="s">
        <v>134</v>
      </c>
      <c r="G16" s="71" t="n">
        <f aca="false">E16*$M$2</f>
        <v>190.541666666667</v>
      </c>
      <c r="H16" s="28" t="n">
        <f aca="false">'APUS ARQUITECTURA'!J168</f>
        <v>90.82588</v>
      </c>
      <c r="I16" s="1" t="n">
        <f aca="false">G16*H16</f>
        <v>17306.1145516667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 t="n">
        <v>1</v>
      </c>
      <c r="F19" s="1" t="s">
        <v>204</v>
      </c>
      <c r="G19" s="71" t="n">
        <f aca="false">E19*$M$2</f>
        <v>45.73</v>
      </c>
      <c r="H19" s="28" t="n">
        <f aca="false">'APUS ARQUITECTURA'!J212</f>
        <v>62.663358</v>
      </c>
      <c r="I19" s="1" t="n">
        <f aca="false">G19*H19</f>
        <v>2865.59536134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v>1</v>
      </c>
      <c r="F21" s="1" t="s">
        <v>134</v>
      </c>
      <c r="G21" s="71" t="n">
        <f aca="false">E21*$M$2</f>
        <v>45.73</v>
      </c>
      <c r="H21" s="28" t="n">
        <f aca="false">'APUS ARQUITECTURA'!J232</f>
        <v>40.18468579</v>
      </c>
      <c r="I21" s="1" t="n">
        <f aca="false">G21*H21</f>
        <v>1837.6456811767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 t="n">
        <v>1</v>
      </c>
      <c r="F23" s="1" t="s">
        <v>134</v>
      </c>
      <c r="G23" s="71" t="n">
        <f aca="false">E23*$M$2</f>
        <v>45.73</v>
      </c>
      <c r="H23" s="28" t="n">
        <f aca="false">'APUS ARQUITECTURA'!J272</f>
        <v>102.656028</v>
      </c>
      <c r="I23" s="1" t="n">
        <f aca="false">G23*H23</f>
        <v>4694.46016044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18.7345483870968</v>
      </c>
      <c r="H29" s="28" t="n">
        <f aca="false">'APUS ARQUITECTURA'!J364</f>
        <v>26.68748</v>
      </c>
      <c r="I29" s="1" t="n">
        <f aca="false">G29*H29</f>
        <v>499.977885389677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 t="n">
        <f aca="false">(((17.65*2)+6.95*2-(2*0.9))/(120))</f>
        <v>0.395</v>
      </c>
      <c r="F33" s="1" t="s">
        <v>145</v>
      </c>
      <c r="G33" s="71" t="n">
        <f aca="false">E33*$M$2</f>
        <v>18.06335</v>
      </c>
      <c r="H33" s="28" t="n">
        <f aca="false">'APUS ARQUITECTURA'!J430</f>
        <v>84.43849</v>
      </c>
      <c r="I33" s="1" t="n">
        <f aca="false">G33*H33</f>
        <v>1525.2419983415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v>0.16</v>
      </c>
      <c r="F35" s="1" t="s">
        <v>134</v>
      </c>
      <c r="G35" s="71" t="n">
        <f aca="false">E35*$M$2</f>
        <v>7.3168</v>
      </c>
      <c r="H35" s="28" t="n">
        <f aca="false">'APUS ARQUITECTURA'!J449</f>
        <v>560.6226</v>
      </c>
      <c r="I35" s="1" t="n">
        <f aca="false">G35*H35</f>
        <v>4101.96343968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 t="n">
        <f aca="false">(1*2)/9</f>
        <v>0.222222222222222</v>
      </c>
      <c r="F36" s="1" t="s">
        <v>134</v>
      </c>
      <c r="G36" s="71" t="n">
        <f aca="false">E36*$M$2</f>
        <v>10.1622222222222</v>
      </c>
      <c r="H36" s="28" t="n">
        <f aca="false">'APUS ARQUITECTURA'!J456</f>
        <v>367.870834240906</v>
      </c>
      <c r="I36" s="1" t="n">
        <f aca="false">G36*H36</f>
        <v>3738.38516663036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5.9449</v>
      </c>
      <c r="H38" s="28" t="n">
        <f aca="false">'APUS ARQUITECTURA'!J470</f>
        <v>622.13</v>
      </c>
      <c r="I38" s="1" t="n">
        <f aca="false">G38*H38</f>
        <v>3698.500637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v>2.84</v>
      </c>
      <c r="F41" s="1" t="s">
        <v>134</v>
      </c>
      <c r="G41" s="71" t="n">
        <f aca="false">E41*$M$2</f>
        <v>129.8732</v>
      </c>
      <c r="H41" s="28" t="n">
        <f aca="false">'APUS ARQUITECTURA'!J484</f>
        <v>15.625164</v>
      </c>
      <c r="I41" s="1" t="n">
        <f aca="false">G41*H41</f>
        <v>2029.2900492048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 t="n">
        <f aca="false">E14</f>
        <v>1.34444444444444</v>
      </c>
      <c r="F42" s="109" t="s">
        <v>134</v>
      </c>
      <c r="G42" s="71" t="n">
        <f aca="false">E42*$M$2</f>
        <v>61.4814444444444</v>
      </c>
      <c r="H42" s="28" t="n">
        <f aca="false">'APUS ARQUITECTURA'!J504</f>
        <v>15.9562854545455</v>
      </c>
      <c r="I42" s="1" t="n">
        <f aca="false">G42*H42</f>
        <v>981.015477713333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false" outlineLevel="0" collapsed="false">
      <c r="A44" s="1" t="s">
        <v>983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L44" s="28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69"/>
      <c r="AK44" s="69"/>
      <c r="AL44" s="69"/>
      <c r="AM44" s="69"/>
      <c r="AN44" s="69"/>
      <c r="AO44" s="69"/>
      <c r="AP44" s="69"/>
      <c r="AQ44" s="69"/>
      <c r="AR44" s="69"/>
      <c r="AS44" s="69"/>
      <c r="AT44" s="69"/>
      <c r="AU44" s="69"/>
      <c r="AV44" s="69"/>
      <c r="AW44" s="69"/>
      <c r="AX44" s="69"/>
      <c r="AY44" s="69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false" outlineLevel="0" collapsed="false">
      <c r="A45" s="1" t="s">
        <v>985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L45" s="28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69"/>
      <c r="AK45" s="69"/>
      <c r="AL45" s="69"/>
      <c r="AM45" s="69"/>
      <c r="AN45" s="69"/>
      <c r="AO45" s="69"/>
      <c r="AP45" s="69"/>
      <c r="AQ45" s="69"/>
      <c r="AR45" s="69"/>
      <c r="AS45" s="69"/>
      <c r="AT45" s="69"/>
      <c r="AU45" s="69"/>
      <c r="AV45" s="69"/>
      <c r="AW45" s="69"/>
      <c r="AX45" s="69"/>
      <c r="AY45" s="69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987</v>
      </c>
      <c r="E46" s="253" t="n">
        <f aca="false">1/9</f>
        <v>0.111111111111111</v>
      </c>
      <c r="F46" s="1" t="s">
        <v>1389</v>
      </c>
      <c r="G46" s="71" t="n">
        <f aca="false">E46*$M$2</f>
        <v>5.08111111111111</v>
      </c>
      <c r="H46" s="28" t="n">
        <f aca="false">'APUS SANITARIAS'!J19</f>
        <v>67.5216666666667</v>
      </c>
      <c r="I46" s="1" t="n">
        <f aca="false">G46*H46</f>
        <v>343.085090740741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 t="n">
        <f aca="false">1/9</f>
        <v>0.111111111111111</v>
      </c>
      <c r="F48" s="1" t="s">
        <v>215</v>
      </c>
      <c r="G48" s="71" t="n">
        <f aca="false">E48*$M$2</f>
        <v>5.08111111111111</v>
      </c>
      <c r="H48" s="28" t="n">
        <f aca="false">'APUS SANITARIAS'!J32</f>
        <v>131.737813333333</v>
      </c>
      <c r="I48" s="1" t="n">
        <f aca="false">G48*H48</f>
        <v>669.374467081481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 t="n">
        <f aca="false">1/9</f>
        <v>0.111111111111111</v>
      </c>
      <c r="F49" s="1" t="s">
        <v>215</v>
      </c>
      <c r="G49" s="71" t="n">
        <f aca="false">E49*$M$2</f>
        <v>5.08111111111111</v>
      </c>
      <c r="H49" s="28" t="n">
        <f aca="false">'APUS SANITARIAS'!J50</f>
        <v>210.60376</v>
      </c>
      <c r="I49" s="1" t="n">
        <f aca="false">G49*H49</f>
        <v>1070.10110497778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4.39008</v>
      </c>
      <c r="H52" s="28" t="n">
        <f aca="false">'APUS SANITARIAS'!J91</f>
        <v>158.148033208747</v>
      </c>
      <c r="I52" s="1" t="n">
        <f aca="false">G52*H52</f>
        <v>694.282517629054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 t="n">
        <f aca="false">2/9</f>
        <v>0.222222222222222</v>
      </c>
      <c r="F53" s="1" t="s">
        <v>215</v>
      </c>
      <c r="G53" s="71" t="n">
        <f aca="false">E53*$M$2</f>
        <v>10.1622222222222</v>
      </c>
      <c r="H53" s="28" t="n">
        <f aca="false">'APUS SANITARIAS'!J108</f>
        <v>138.64528</v>
      </c>
      <c r="I53" s="1" t="n">
        <f aca="false">G53*H53</f>
        <v>1408.94414542222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 t="n">
        <f aca="false">2/9</f>
        <v>0.222222222222222</v>
      </c>
      <c r="F54" s="1" t="s">
        <v>215</v>
      </c>
      <c r="G54" s="71" t="n">
        <f aca="false">E54*$M$2</f>
        <v>10.1622222222222</v>
      </c>
      <c r="H54" s="28" t="n">
        <f aca="false">'APUS SANITARIAS'!J127</f>
        <v>145.93578</v>
      </c>
      <c r="I54" s="1" t="n">
        <f aca="false">G54*H54</f>
        <v>1483.03182653333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 t="n">
        <f aca="false">2/9</f>
        <v>0.222222222222222</v>
      </c>
      <c r="F55" s="1" t="s">
        <v>215</v>
      </c>
      <c r="G55" s="71" t="n">
        <f aca="false">E55*$M$2</f>
        <v>10.1622222222222</v>
      </c>
      <c r="H55" s="28" t="n">
        <f aca="false">'APUS SANITARIAS'!J145</f>
        <v>141.07118</v>
      </c>
      <c r="I55" s="1" t="n">
        <f aca="false">G55*H55</f>
        <v>1433.59668031111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 t="n">
        <f aca="false">1/9</f>
        <v>0.111111111111111</v>
      </c>
      <c r="F56" s="1" t="s">
        <v>150</v>
      </c>
      <c r="G56" s="71" t="n">
        <f aca="false">E56*$M$2</f>
        <v>5.08111111111111</v>
      </c>
      <c r="H56" s="28" t="n">
        <f aca="false">'APUS SANITARIAS'!J163</f>
        <v>214.33092</v>
      </c>
      <c r="I56" s="1" t="n">
        <f aca="false">G56*H56</f>
        <v>1089.03921906667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 t="n">
        <f aca="false">1/9</f>
        <v>0.111111111111111</v>
      </c>
      <c r="F57" s="1" t="s">
        <v>150</v>
      </c>
      <c r="G57" s="71" t="n">
        <f aca="false">E57*$M$2</f>
        <v>5.08111111111111</v>
      </c>
      <c r="H57" s="28" t="n">
        <f aca="false">'APUS SANITARIAS'!J178</f>
        <v>101.513743136387</v>
      </c>
      <c r="I57" s="1" t="n">
        <f aca="false">G57*H57</f>
        <v>515.802608180775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6/9</f>
        <v>0.666666666666667</v>
      </c>
      <c r="F59" s="1" t="s">
        <v>215</v>
      </c>
      <c r="G59" s="71" t="n">
        <f aca="false">E59*$M$2</f>
        <v>30.4866666666667</v>
      </c>
      <c r="H59" s="28" t="n">
        <f aca="false">'APUS ELECTRICAS'!J5</f>
        <v>121.043104</v>
      </c>
      <c r="I59" s="1" t="n">
        <f aca="false">G59*H59</f>
        <v>3690.20076394667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6/9</f>
        <v>0.666666666666667</v>
      </c>
      <c r="F60" s="1" t="s">
        <v>215</v>
      </c>
      <c r="G60" s="71" t="n">
        <f aca="false">E60*$M$2</f>
        <v>30.4866666666667</v>
      </c>
      <c r="H60" s="28" t="n">
        <f aca="false">'APUS ELECTRICAS'!J26</f>
        <v>163.73838</v>
      </c>
      <c r="I60" s="1" t="n">
        <f aca="false">G60*H60</f>
        <v>4991.8374116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6/9</f>
        <v>0.666666666666667</v>
      </c>
      <c r="F61" s="1" t="s">
        <v>215</v>
      </c>
      <c r="G61" s="71" t="n">
        <f aca="false">E61*$M$2</f>
        <v>30.4866666666667</v>
      </c>
      <c r="H61" s="28" t="n">
        <f aca="false">'APUS ELECTRICAS'!J48</f>
        <v>118.3069</v>
      </c>
      <c r="I61" s="1" t="n">
        <f aca="false">G61*H61</f>
        <v>3606.78302466667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1/9</f>
        <v>0.111111111111111</v>
      </c>
      <c r="F64" s="1" t="s">
        <v>150</v>
      </c>
      <c r="G64" s="71" t="n">
        <f aca="false">E64*$M$2</f>
        <v>5.08111111111111</v>
      </c>
      <c r="H64" s="28" t="n">
        <f aca="false">'APUS ELECTRICAS'!J74</f>
        <v>396.145032</v>
      </c>
      <c r="I64" s="1" t="n">
        <f aca="false">G64*H64</f>
        <v>2012.85692370667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1/9</f>
        <v>0.111111111111111</v>
      </c>
      <c r="F65" s="1" t="s">
        <v>150</v>
      </c>
      <c r="G65" s="71" t="n">
        <f aca="false">E65*$M$2</f>
        <v>5.08111111111111</v>
      </c>
      <c r="H65" s="28" t="n">
        <f aca="false">'APUS ELECTRICAS'!J88</f>
        <v>105.9636</v>
      </c>
      <c r="I65" s="1" t="n">
        <f aca="false">G65*H65</f>
        <v>538.412825333333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'!D48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(2.8*2)/9.2</f>
        <v>0.608695652173913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53"/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53" t="n">
        <f aca="false">(1.5+3+3.1-0.9)*3/9.2</f>
        <v>2.18478260869565</v>
      </c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f aca="false">((2.8*2)+(3*0.4))/9.2</f>
        <v>0.739130434782609</v>
      </c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/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 t="n">
        <v>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 t="n">
        <v>1</v>
      </c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 t="n">
        <f aca="false">(3.1+2.9+0.4+1.8+2.95)*0.1/9.2</f>
        <v>0.121195652173913</v>
      </c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/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/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 t="n">
        <f aca="false">2.9*2.85/9.2</f>
        <v>0.898369565217391</v>
      </c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E13*2</f>
        <v>1.47826086956522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/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/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/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/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v>0.5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v>0.5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v>0.5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 t="n">
        <f aca="false">3/9.2</f>
        <v>0.326086956521739</v>
      </c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v>0.13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v>0.13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28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28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28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28"/>
    </row>
    <row r="91" customFormat="false" ht="15" hidden="false" customHeight="false" outlineLevel="0" collapsed="false">
      <c r="H91" s="28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8" activeCellId="0" sqref="H8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'!D49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(2.2+1.4+0.1)*3/10.3</f>
        <v>1.07766990291262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53" t="n">
        <f aca="false">2.4*3/10.3</f>
        <v>0.699029126213592</v>
      </c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53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88" t="n">
        <f aca="false">(2.4+4.4+4.4+1.4+0.1)*3/10.3</f>
        <v>3.69902912621359</v>
      </c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2.4*3.3/10.3</f>
        <v>0.768932038834951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 t="n">
        <v>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 t="n">
        <v>1</v>
      </c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 t="n">
        <f aca="false">(2.4+4.4+4.4+1.5)*0.1/10.3</f>
        <v>0.123300970873786</v>
      </c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f aca="false">2.1*0.9/10.3</f>
        <v>0.183495145631068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 t="n">
        <f aca="false">0.65*1.5/10.3</f>
        <v>0.0946601941747573</v>
      </c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1+(E13)</f>
        <v>4.69902912621359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/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53" t="n">
        <f aca="false">1/10.3</f>
        <v>0.0970873786407767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J44" s="253"/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53" t="n">
        <f aca="false">1/10.3</f>
        <v>0.0970873786407767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53" t="n">
        <f aca="false">1/10.3</f>
        <v>0.0970873786407767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 t="n">
        <f aca="false">1/10.3</f>
        <v>0.0970873786407767</v>
      </c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 t="n">
        <f aca="false">1/10.3</f>
        <v>0.0970873786407767</v>
      </c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 t="n">
        <f aca="false">1/10.3</f>
        <v>0.0970873786407767</v>
      </c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 t="n">
        <f aca="false">1/10.3</f>
        <v>0.0970873786407767</v>
      </c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 t="n">
        <f aca="false">1/10.3</f>
        <v>0.0970873786407767</v>
      </c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 t="n">
        <f aca="false">1/10.3</f>
        <v>0.0970873786407767</v>
      </c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3/10.3</f>
        <v>0.29126213592233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3/10.3</f>
        <v>0.29126213592233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3/10.3</f>
        <v>0.29126213592233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1/10.3</f>
        <v>0.0970873786407767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1/10.3</f>
        <v>0.0970873786407767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28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28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28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28"/>
    </row>
    <row r="91" customFormat="false" ht="15" hidden="false" customHeight="false" outlineLevel="0" collapsed="false">
      <c r="H91" s="28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8" activeCellId="0" sqref="H8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'!D50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6.95*3/28</f>
        <v>0.744642857142857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53" t="n">
        <f aca="false">2.8*3/28</f>
        <v>0.3</v>
      </c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53" t="n">
        <f aca="false">0.8*3/28</f>
        <v>0.0857142857142857</v>
      </c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88" t="n">
        <f aca="false">+E6+E6+E7+(1.15*3/28)</f>
        <v>1.9125</v>
      </c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/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 t="n">
        <v>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 t="n">
        <v>1</v>
      </c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 t="n">
        <f aca="false">((3.9*2)+(6.95*2)-2)/28</f>
        <v>0.703571428571429</v>
      </c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f aca="false">2*2.1/28</f>
        <v>0.15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/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(3.9+6.95+6.95+3.9+0.2-2)*3/28</f>
        <v>2.13214285714286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/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/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/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/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1/10</f>
        <v>0.1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1/10</f>
        <v>0.1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1/10</f>
        <v>0.1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 t="n">
        <f aca="false">5/28</f>
        <v>0.178571428571429</v>
      </c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1/10</f>
        <v>0.1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1/10</f>
        <v>0.1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28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28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28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28"/>
    </row>
    <row r="91" customFormat="false" ht="15" hidden="false" customHeight="false" outlineLevel="0" collapsed="false">
      <c r="H91" s="28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J4" activeCellId="0" sqref="J4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'!D51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(((2*6.95/2)+2.8)*3-(30*0.2)-(0.9*2.1))/(30)</f>
        <v>0.712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53"/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53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f aca="false">(((2*6.95)+(2*2.8))*3)/(30)</f>
        <v>1.95</v>
      </c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((2.8*3.3)-(30*0.2)-(0.9*2.1))/(30)</f>
        <v>0.0449999999999999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/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f aca="false">1</f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 t="n">
        <v>1</v>
      </c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 t="n">
        <f aca="false">(((2*6.95)+(2*2.8))- 0.9*2.1)/(30)</f>
        <v>0.587</v>
      </c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f aca="false">0.9*2.1/30</f>
        <v>0.063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 t="n">
        <v>0.09</v>
      </c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(((2*6.95)+(2*2.8))*3+30-30*0.2-0.9*2.1)/(30)</f>
        <v>2.687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 t="n">
        <f aca="false">(2.8*3.3-30*0.2-0.9*2.1)/(30)</f>
        <v>0.0449999999999999</v>
      </c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/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/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/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2/30</f>
        <v>0.0666666666666667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2/30</f>
        <v>0.0666666666666667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2/30</f>
        <v>0.0666666666666667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/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/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 t="n">
        <f aca="false">'APUS COMUNICACIONES'!J5</f>
        <v>279.8531</v>
      </c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 t="n">
        <f aca="false">'APUS COMUNICACIONES'!J23</f>
        <v>95.8431</v>
      </c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 t="n">
        <f aca="false">'APUS COMUNICACIONES'!J41</f>
        <v>95.8431</v>
      </c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 t="n">
        <f aca="false">'APUS COMUNICACIONES'!J59</f>
        <v>26.403334</v>
      </c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 t="n">
        <f aca="false">'APUS COMUNICACIONES'!J77</f>
        <v>25.004334</v>
      </c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 t="n">
        <f aca="false">'APUS COMUNICACIONES'!J95</f>
        <v>19.232788</v>
      </c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 t="n">
        <f aca="false">'APUS COMUNICACIONES'!J113</f>
        <v>16.371788</v>
      </c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 t="n">
        <f aca="false">'APUS COMUNICACIONES'!J131</f>
        <v>62.670152</v>
      </c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 t="n">
        <f aca="false">'APUS COMUNICACIONES'!J146</f>
        <v>58.850152</v>
      </c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 t="n">
        <f aca="false">'APUS COMUNICACIONES'!J161</f>
        <v>57.880152</v>
      </c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 t="n">
        <f aca="false">'APUS COMUNICACIONES'!J176</f>
        <v>99.34046</v>
      </c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28" t="n">
        <f aca="false">'APUS COMUNICACIONES'!J422</f>
        <v>633.6988</v>
      </c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28" t="n">
        <f aca="false">'APUS COMUNICACIONES'!J440</f>
        <v>520.8388</v>
      </c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28" t="n">
        <f aca="false">'APUS COMUNICACIONES'!J469</f>
        <v>367.6688</v>
      </c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28" t="n">
        <f aca="false">'APUS COMUNICACIONES'!J497</f>
        <v>96.14409</v>
      </c>
    </row>
    <row r="91" customFormat="false" ht="15" hidden="false" customHeight="false" outlineLevel="0" collapsed="false">
      <c r="H91" s="28" t="n">
        <f aca="false">'APUS COMUNICACIONES'!J513</f>
        <v>64.33069</v>
      </c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7" activeCellId="0" sqref="H7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'!D52</f>
        <v>9.55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5636.3070231201</v>
      </c>
      <c r="L4" s="157" t="s">
        <v>1369</v>
      </c>
      <c r="M4" s="252" t="n">
        <f aca="false">J4/M2</f>
        <v>590.189217080639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68" t="n">
        <v>1.26</v>
      </c>
      <c r="F6" s="227" t="s">
        <v>134</v>
      </c>
      <c r="G6" s="71" t="n">
        <f aca="false">E6*$M$2</f>
        <v>12.033</v>
      </c>
      <c r="H6" s="28" t="n">
        <f aca="false">'APUS ARQUITECTURA'!J5</f>
        <v>135.824337926792</v>
      </c>
      <c r="I6" s="1" t="n">
        <f aca="false">G6*H6</f>
        <v>1634.37425827309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68"/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68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183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183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68" t="n">
        <f aca="false">+E6+E6+E7+(1.15*3/28)</f>
        <v>2.64321428571429</v>
      </c>
      <c r="F13" s="1" t="s">
        <v>134</v>
      </c>
      <c r="G13" s="71" t="n">
        <f aca="false">E13*$M$2</f>
        <v>25.2426964285714</v>
      </c>
      <c r="H13" s="28" t="n">
        <f aca="false">'APUS ARQUITECTURA'!J127</f>
        <v>27.1229651333333</v>
      </c>
      <c r="I13" s="1" t="n">
        <f aca="false">G13*H13</f>
        <v>684.656775103461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68"/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68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68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68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68" t="n">
        <v>1</v>
      </c>
      <c r="F19" s="1" t="s">
        <v>204</v>
      </c>
      <c r="G19" s="71" t="n">
        <f aca="false">E19*$M$2</f>
        <v>9.55</v>
      </c>
      <c r="H19" s="28" t="n">
        <f aca="false">'APUS ARQUITECTURA'!J212</f>
        <v>62.663358</v>
      </c>
      <c r="I19" s="1" t="n">
        <f aca="false">G19*H19</f>
        <v>598.4350689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68" t="n">
        <v>1</v>
      </c>
      <c r="F21" s="1" t="s">
        <v>134</v>
      </c>
      <c r="G21" s="71" t="n">
        <f aca="false">E21*$M$2</f>
        <v>9.55</v>
      </c>
      <c r="H21" s="28" t="n">
        <f aca="false">'APUS ARQUITECTURA'!J232</f>
        <v>40.18468579</v>
      </c>
      <c r="I21" s="1" t="n">
        <f aca="false">G21*H21</f>
        <v>383.7637492945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68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68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68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68" t="n">
        <v>1</v>
      </c>
      <c r="F25" s="1" t="s">
        <v>134</v>
      </c>
      <c r="G25" s="71" t="n">
        <f aca="false">E25*$M$2</f>
        <v>9.55</v>
      </c>
      <c r="H25" s="28" t="n">
        <f aca="false">'APUS ARQUITECTURA'!J318</f>
        <v>51.986298</v>
      </c>
      <c r="I25" s="1" t="n">
        <f aca="false">G25*H25</f>
        <v>496.4691459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68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68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68" t="n">
        <v>0.4</v>
      </c>
      <c r="F28" s="1" t="s">
        <v>145</v>
      </c>
      <c r="G28" s="71" t="n">
        <f aca="false">E28*$M$2</f>
        <v>3.82</v>
      </c>
      <c r="H28" s="28" t="n">
        <f aca="false">'APUS ARQUITECTURA'!J347</f>
        <v>20.56998</v>
      </c>
      <c r="I28" s="1" t="n">
        <f aca="false">G28*H28</f>
        <v>78.5773236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68" t="n">
        <f aca="false">((2*8+2*6.95)-(4.5))/62</f>
        <v>0.409677419354839</v>
      </c>
      <c r="F29" s="1" t="s">
        <v>145</v>
      </c>
      <c r="G29" s="71" t="n">
        <f aca="false">E29*$M$2</f>
        <v>3.91241935483871</v>
      </c>
      <c r="H29" s="28" t="n">
        <f aca="false">'APUS ARQUITECTURA'!J364</f>
        <v>26.68748</v>
      </c>
      <c r="I29" s="1" t="n">
        <f aca="false">G29*H29</f>
        <v>104.412613283871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68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68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68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68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68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183" t="n">
        <f aca="false">0.9*2.1/30</f>
        <v>0.063</v>
      </c>
      <c r="F35" s="1" t="s">
        <v>134</v>
      </c>
      <c r="G35" s="71" t="n">
        <f aca="false">E35*$M$2</f>
        <v>0.60165</v>
      </c>
      <c r="H35" s="28" t="n">
        <f aca="false">'APUS ARQUITECTURA'!J449</f>
        <v>560.6226</v>
      </c>
      <c r="I35" s="1" t="n">
        <f aca="false">G35*H35</f>
        <v>337.29858729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68"/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1.2415</v>
      </c>
      <c r="H38" s="28" t="n">
        <f aca="false">'APUS ARQUITECTURA'!J470</f>
        <v>622.13</v>
      </c>
      <c r="I38" s="1" t="n">
        <f aca="false">G38*H38</f>
        <v>772.374395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68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68" t="n">
        <f aca="false">(((2*6.95)+(2*2.8))*3+30-30*0.2-0.9*2.1)/(30)</f>
        <v>2.687</v>
      </c>
      <c r="F41" s="1" t="s">
        <v>134</v>
      </c>
      <c r="G41" s="71" t="n">
        <f aca="false">E41*$M$2</f>
        <v>25.66085</v>
      </c>
      <c r="H41" s="28" t="n">
        <f aca="false">'APUS ARQUITECTURA'!J484</f>
        <v>15.625164</v>
      </c>
      <c r="I41" s="1" t="n">
        <f aca="false">G41*H41</f>
        <v>400.9549896294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68"/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68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68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68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68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68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0.9168</v>
      </c>
      <c r="H52" s="28" t="n">
        <f aca="false">'APUS SANITARIAS'!J91</f>
        <v>158.148033208747</v>
      </c>
      <c r="I52" s="1" t="n">
        <f aca="false">G52*H52</f>
        <v>144.990116845779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68"/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68"/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68"/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68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68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68"/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68"/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68"/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68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68"/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68"/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68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68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 t="n">
        <f aca="false">'APUS COMUNICACIONES'!J5</f>
        <v>279.8531</v>
      </c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 t="n">
        <f aca="false">'APUS COMUNICACIONES'!J23</f>
        <v>95.8431</v>
      </c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 t="n">
        <f aca="false">'APUS COMUNICACIONES'!J41</f>
        <v>95.8431</v>
      </c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 t="n">
        <f aca="false">'APUS COMUNICACIONES'!J59</f>
        <v>26.403334</v>
      </c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 t="n">
        <f aca="false">'APUS COMUNICACIONES'!J77</f>
        <v>25.004334</v>
      </c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 t="n">
        <f aca="false">'APUS COMUNICACIONES'!J95</f>
        <v>19.232788</v>
      </c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 t="n">
        <f aca="false">'APUS COMUNICACIONES'!J113</f>
        <v>16.371788</v>
      </c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 t="n">
        <f aca="false">'APUS COMUNICACIONES'!J131</f>
        <v>62.670152</v>
      </c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 t="n">
        <f aca="false">'APUS COMUNICACIONES'!J146</f>
        <v>58.850152</v>
      </c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 t="n">
        <f aca="false">'APUS COMUNICACIONES'!J161</f>
        <v>57.880152</v>
      </c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 t="n">
        <f aca="false">'APUS COMUNICACIONES'!J176</f>
        <v>99.34046</v>
      </c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28" t="n">
        <f aca="false">'APUS COMUNICACIONES'!J422</f>
        <v>633.6988</v>
      </c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28" t="n">
        <f aca="false">'APUS COMUNICACIONES'!J440</f>
        <v>520.8388</v>
      </c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28" t="n">
        <f aca="false">'APUS COMUNICACIONES'!J469</f>
        <v>367.6688</v>
      </c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28" t="n">
        <f aca="false">'APUS COMUNICACIONES'!J497</f>
        <v>96.14409</v>
      </c>
    </row>
    <row r="91" customFormat="false" ht="15" hidden="false" customHeight="false" outlineLevel="0" collapsed="false">
      <c r="H91" s="28" t="n">
        <f aca="false">'APUS COMUNICACIONES'!J513</f>
        <v>64.33069</v>
      </c>
    </row>
    <row r="99" customFormat="false" ht="15" hidden="false" customHeight="false" outlineLevel="0" collapsed="false">
      <c r="A99" s="251"/>
    </row>
    <row r="101" customFormat="false" ht="15" hidden="false" customHeight="false" outlineLevel="0" collapsed="false">
      <c r="G101" s="71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37" colorId="64" zoomScale="100" zoomScaleNormal="100" zoomScalePageLayoutView="100" workbookViewId="0">
      <selection pane="topLeft" activeCell="H39" activeCellId="0" sqref="H39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'!D53</f>
        <v>39.2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83447.6978736431</v>
      </c>
      <c r="L4" s="157" t="s">
        <v>1369</v>
      </c>
      <c r="M4" s="252" t="n">
        <f aca="false">J4/M2</f>
        <v>2128.76780289906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(4.15+2.35+2.45+1.85+0.5+0.45)*3/7.3</f>
        <v>4.82876712328767</v>
      </c>
      <c r="F6" s="227" t="s">
        <v>134</v>
      </c>
      <c r="G6" s="71" t="n">
        <f aca="false">E6*$M$2</f>
        <v>189.287671232877</v>
      </c>
      <c r="H6" s="28" t="n">
        <f aca="false">'APUS ARQUITECTURA'!J5</f>
        <v>135.824337926792</v>
      </c>
      <c r="I6" s="1" t="n">
        <f aca="false">G6*H6</f>
        <v>25709.8726229098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53" t="n">
        <v>0</v>
      </c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53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f aca="false">(4+2.35+2.3+1.85+1.15+0.9)*3/7.3</f>
        <v>5.15753424657534</v>
      </c>
      <c r="F13" s="1" t="s">
        <v>134</v>
      </c>
      <c r="G13" s="71" t="n">
        <f aca="false">E13*$M$2</f>
        <v>202.175342465753</v>
      </c>
      <c r="H13" s="28" t="n">
        <f aca="false">'APUS ARQUITECTURA'!J127</f>
        <v>27.1229651333333</v>
      </c>
      <c r="I13" s="1" t="n">
        <f aca="false">G13*H13</f>
        <v>5483.59476451836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(1.8+1.85)*3.3/7.3</f>
        <v>1.65</v>
      </c>
      <c r="F14" s="1" t="s">
        <v>134</v>
      </c>
      <c r="G14" s="71" t="n">
        <f aca="false">E14*$M$2</f>
        <v>64.68</v>
      </c>
      <c r="H14" s="28" t="n">
        <f aca="false">'APUS ARQUITECTURA'!J148</f>
        <v>35.8409626666667</v>
      </c>
      <c r="I14" s="1" t="n">
        <f aca="false">G14*H14</f>
        <v>2318.19346528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 t="n">
        <f aca="false">(1.75+1.15+1.85+0.45)*3/7.3</f>
        <v>2.13698630136986</v>
      </c>
      <c r="F16" s="1" t="s">
        <v>134</v>
      </c>
      <c r="G16" s="71" t="n">
        <f aca="false">E16*$M$2</f>
        <v>83.7698630136986</v>
      </c>
      <c r="H16" s="28" t="n">
        <f aca="false">'APUS ARQUITECTURA'!J168</f>
        <v>90.82588</v>
      </c>
      <c r="I16" s="1" t="n">
        <f aca="false">G16*H16</f>
        <v>7608.47152569863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 t="n">
        <v>1</v>
      </c>
      <c r="F19" s="1" t="s">
        <v>204</v>
      </c>
      <c r="G19" s="71" t="n">
        <f aca="false">E19*$M$2</f>
        <v>39.2</v>
      </c>
      <c r="H19" s="28" t="n">
        <f aca="false">'APUS ARQUITECTURA'!J212</f>
        <v>62.663358</v>
      </c>
      <c r="I19" s="1" t="n">
        <f aca="false">G19*H19</f>
        <v>2456.4036336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v>1</v>
      </c>
      <c r="F21" s="1" t="s">
        <v>134</v>
      </c>
      <c r="G21" s="71" t="n">
        <f aca="false">E21*$M$2</f>
        <v>39.2</v>
      </c>
      <c r="H21" s="28" t="n">
        <f aca="false">'APUS ARQUITECTURA'!J232</f>
        <v>40.18468579</v>
      </c>
      <c r="I21" s="1" t="n">
        <f aca="false">G21*H21</f>
        <v>1575.239682968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 t="n">
        <v>1</v>
      </c>
      <c r="F25" s="1" t="s">
        <v>134</v>
      </c>
      <c r="G25" s="71" t="n">
        <f aca="false">E25*$M$2</f>
        <v>39.2</v>
      </c>
      <c r="H25" s="28" t="n">
        <f aca="false">'APUS ARQUITECTURA'!J318</f>
        <v>51.986298</v>
      </c>
      <c r="I25" s="1" t="n">
        <f aca="false">G25*H25</f>
        <v>2037.8628816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 t="n">
        <f aca="false">(2.15+2.35+2.3+0.45)*0.15/7.3</f>
        <v>0.148972602739726</v>
      </c>
      <c r="F28" s="1" t="s">
        <v>145</v>
      </c>
      <c r="G28" s="71" t="n">
        <f aca="false">E28*$M$2</f>
        <v>5.83972602739726</v>
      </c>
      <c r="H28" s="28" t="n">
        <f aca="false">'APUS ARQUITECTURA'!J347</f>
        <v>20.56998</v>
      </c>
      <c r="I28" s="1" t="n">
        <f aca="false">G28*H28</f>
        <v>120.123047589041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16.0593548387097</v>
      </c>
      <c r="H29" s="28" t="n">
        <f aca="false">'APUS ARQUITECTURA'!J364</f>
        <v>26.68748</v>
      </c>
      <c r="I29" s="1" t="n">
        <f aca="false">G29*H29</f>
        <v>428.583711070968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f aca="false">(0.75+1)*2.1/7.3</f>
        <v>0.503424657534247</v>
      </c>
      <c r="F35" s="1" t="s">
        <v>134</v>
      </c>
      <c r="G35" s="71" t="n">
        <f aca="false">E35*$M$2</f>
        <v>19.7342465753425</v>
      </c>
      <c r="H35" s="28" t="n">
        <f aca="false">'APUS ARQUITECTURA'!J449</f>
        <v>560.6226</v>
      </c>
      <c r="I35" s="1" t="n">
        <f aca="false">G35*H35</f>
        <v>11063.4646241096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 t="n">
        <f aca="false">1*1/7.3</f>
        <v>0.136986301369863</v>
      </c>
      <c r="F36" s="1" t="s">
        <v>134</v>
      </c>
      <c r="G36" s="71" t="n">
        <f aca="false">E36*$M$2</f>
        <v>5.36986301369863</v>
      </c>
      <c r="H36" s="28" t="n">
        <f aca="false">'APUS ARQUITECTURA'!J456</f>
        <v>367.870834240906</v>
      </c>
      <c r="I36" s="1" t="n">
        <f aca="false">G36*H36</f>
        <v>1975.4159866087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5.096</v>
      </c>
      <c r="H38" s="28" t="n">
        <f aca="false">'APUS ARQUITECTURA'!J470</f>
        <v>622.13</v>
      </c>
      <c r="I38" s="1" t="n">
        <f aca="false">G38*H38</f>
        <v>3170.37448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+E13</f>
        <v>5.15753424657534</v>
      </c>
      <c r="F41" s="1" t="s">
        <v>134</v>
      </c>
      <c r="G41" s="71" t="n">
        <f aca="false">E41*$M$2</f>
        <v>202.175342465753</v>
      </c>
      <c r="H41" s="28" t="n">
        <f aca="false">'APUS ARQUITECTURA'!J484</f>
        <v>15.625164</v>
      </c>
      <c r="I41" s="1" t="n">
        <f aca="false">G41*H41</f>
        <v>3159.02288278356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/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53" t="n">
        <f aca="false">2/7.3</f>
        <v>0.273972602739726</v>
      </c>
      <c r="F44" s="1" t="s">
        <v>1389</v>
      </c>
      <c r="G44" s="71" t="n">
        <f aca="false">E44*$M$2</f>
        <v>10.7397260273973</v>
      </c>
      <c r="H44" s="28" t="n">
        <f aca="false">'APUS SANITARIAS'!J5</f>
        <v>193.333333333333</v>
      </c>
      <c r="I44" s="1" t="n">
        <f aca="false">G44*H44</f>
        <v>2076.34703196347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53" t="n">
        <f aca="false">2/7.3</f>
        <v>0.273972602739726</v>
      </c>
      <c r="F45" s="1" t="s">
        <v>1389</v>
      </c>
      <c r="G45" s="71" t="n">
        <f aca="false">E45*$M$2</f>
        <v>10.7397260273973</v>
      </c>
      <c r="H45" s="28" t="n">
        <f aca="false">'APUS SANITARIAS'!J12</f>
        <v>192.42</v>
      </c>
      <c r="I45" s="1" t="n">
        <f aca="false">G45*H45</f>
        <v>2066.53808219178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53" t="n">
        <f aca="false">2/7.3</f>
        <v>0.273972602739726</v>
      </c>
      <c r="F46" s="1" t="s">
        <v>1389</v>
      </c>
      <c r="G46" s="71" t="n">
        <f aca="false">E46*$M$2</f>
        <v>10.7397260273973</v>
      </c>
      <c r="H46" s="28" t="n">
        <f aca="false">'APUS SANITARIAS'!J19</f>
        <v>67.5216666666667</v>
      </c>
      <c r="I46" s="1" t="n">
        <f aca="false">G46*H46</f>
        <v>725.164200913242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 t="n">
        <f aca="false">1/7.3</f>
        <v>0.136986301369863</v>
      </c>
      <c r="F48" s="1" t="s">
        <v>215</v>
      </c>
      <c r="G48" s="71" t="n">
        <f aca="false">E48*$M$2</f>
        <v>5.36986301369863</v>
      </c>
      <c r="H48" s="28" t="n">
        <f aca="false">'APUS SANITARIAS'!J32</f>
        <v>131.737813333333</v>
      </c>
      <c r="I48" s="1" t="n">
        <f aca="false">G48*H48</f>
        <v>707.414011324201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3.7632</v>
      </c>
      <c r="H52" s="28" t="n">
        <f aca="false">'APUS SANITARIAS'!J91</f>
        <v>158.148033208747</v>
      </c>
      <c r="I52" s="1" t="n">
        <f aca="false">G52*H52</f>
        <v>595.142678571155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 t="n">
        <f aca="false">1/7.3</f>
        <v>0.136986301369863</v>
      </c>
      <c r="F53" s="1" t="s">
        <v>215</v>
      </c>
      <c r="G53" s="71" t="n">
        <f aca="false">E53*$M$2</f>
        <v>5.36986301369863</v>
      </c>
      <c r="H53" s="28" t="n">
        <f aca="false">'APUS SANITARIAS'!J108</f>
        <v>138.64528</v>
      </c>
      <c r="I53" s="1" t="n">
        <f aca="false">G53*H53</f>
        <v>744.50616109589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 t="n">
        <f aca="false">1/7.3</f>
        <v>0.136986301369863</v>
      </c>
      <c r="F54" s="1" t="s">
        <v>215</v>
      </c>
      <c r="G54" s="71" t="n">
        <f aca="false">E54*$M$2</f>
        <v>5.36986301369863</v>
      </c>
      <c r="H54" s="28" t="n">
        <f aca="false">'APUS SANITARIAS'!J127</f>
        <v>145.93578</v>
      </c>
      <c r="I54" s="1" t="n">
        <f aca="false">G54*H54</f>
        <v>783.65514739726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 t="n">
        <f aca="false">1/7.3</f>
        <v>0.136986301369863</v>
      </c>
      <c r="F55" s="1" t="s">
        <v>215</v>
      </c>
      <c r="G55" s="71" t="n">
        <f aca="false">E55*$M$2</f>
        <v>5.36986301369863</v>
      </c>
      <c r="H55" s="28" t="n">
        <f aca="false">'APUS SANITARIAS'!J145</f>
        <v>141.07118</v>
      </c>
      <c r="I55" s="1" t="n">
        <f aca="false">G55*H55</f>
        <v>757.532911780822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 t="n">
        <f aca="false">1/7.3</f>
        <v>0.136986301369863</v>
      </c>
      <c r="F56" s="1" t="s">
        <v>150</v>
      </c>
      <c r="G56" s="71" t="n">
        <f aca="false">E56*$M$2</f>
        <v>5.36986301369863</v>
      </c>
      <c r="H56" s="28" t="n">
        <f aca="false">'APUS SANITARIAS'!J163</f>
        <v>214.33092</v>
      </c>
      <c r="I56" s="1" t="n">
        <f aca="false">G56*H56</f>
        <v>1150.92768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 t="n">
        <f aca="false">1/7.3</f>
        <v>0.136986301369863</v>
      </c>
      <c r="F57" s="1" t="s">
        <v>150</v>
      </c>
      <c r="G57" s="71" t="n">
        <f aca="false">E57*$M$2</f>
        <v>5.36986301369863</v>
      </c>
      <c r="H57" s="28" t="n">
        <f aca="false">'APUS SANITARIAS'!J178</f>
        <v>101.513743136387</v>
      </c>
      <c r="I57" s="1" t="n">
        <f aca="false">G57*H57</f>
        <v>545.114894650188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3/10.84</f>
        <v>0.276752767527675</v>
      </c>
      <c r="F59" s="1" t="s">
        <v>215</v>
      </c>
      <c r="G59" s="71" t="n">
        <f aca="false">E59*$M$2</f>
        <v>10.8487084870849</v>
      </c>
      <c r="H59" s="28" t="n">
        <f aca="false">'APUS ELECTRICAS'!J5</f>
        <v>121.043104</v>
      </c>
      <c r="I59" s="1" t="n">
        <f aca="false">G59*H59</f>
        <v>1313.1613496679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3/10.84</f>
        <v>0.276752767527675</v>
      </c>
      <c r="F60" s="1" t="s">
        <v>215</v>
      </c>
      <c r="G60" s="71" t="n">
        <f aca="false">E60*$M$2</f>
        <v>10.8487084870849</v>
      </c>
      <c r="H60" s="28" t="n">
        <f aca="false">'APUS ELECTRICAS'!J26</f>
        <v>163.73838</v>
      </c>
      <c r="I60" s="1" t="n">
        <f aca="false">G60*H60</f>
        <v>1776.34995276753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3/10.84</f>
        <v>0.276752767527675</v>
      </c>
      <c r="F61" s="1" t="s">
        <v>215</v>
      </c>
      <c r="G61" s="71" t="n">
        <f aca="false">E61*$M$2</f>
        <v>10.8487084870849</v>
      </c>
      <c r="H61" s="28" t="n">
        <f aca="false">'APUS ELECTRICAS'!J48</f>
        <v>118.3069</v>
      </c>
      <c r="I61" s="1" t="n">
        <f aca="false">G61*H61</f>
        <v>1283.4770701107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1/10.84</f>
        <v>0.0922509225092251</v>
      </c>
      <c r="F64" s="1" t="s">
        <v>150</v>
      </c>
      <c r="G64" s="71" t="n">
        <f aca="false">E64*$M$2</f>
        <v>3.61623616236162</v>
      </c>
      <c r="H64" s="28" t="n">
        <f aca="false">'APUS ELECTRICAS'!J74</f>
        <v>396.145032</v>
      </c>
      <c r="I64" s="1" t="n">
        <f aca="false">G64*H64</f>
        <v>1432.5539902583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1/10.84</f>
        <v>0.0922509225092251</v>
      </c>
      <c r="F65" s="1" t="s">
        <v>150</v>
      </c>
      <c r="G65" s="71" t="n">
        <f aca="false">E65*$M$2</f>
        <v>3.61623616236162</v>
      </c>
      <c r="H65" s="28" t="n">
        <f aca="false">'APUS ELECTRICAS'!J88</f>
        <v>105.9636</v>
      </c>
      <c r="I65" s="1" t="n">
        <f aca="false">G65*H65</f>
        <v>383.189402214022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 t="n">
        <f aca="false">'APUS COMUNICACIONES'!J5</f>
        <v>279.8531</v>
      </c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 t="n">
        <f aca="false">'APUS COMUNICACIONES'!J23</f>
        <v>95.8431</v>
      </c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 t="n">
        <f aca="false">'APUS COMUNICACIONES'!J41</f>
        <v>95.8431</v>
      </c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 t="n">
        <f aca="false">'APUS COMUNICACIONES'!J59</f>
        <v>26.403334</v>
      </c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 t="n">
        <f aca="false">'APUS COMUNICACIONES'!J77</f>
        <v>25.004334</v>
      </c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 t="n">
        <f aca="false">'APUS COMUNICACIONES'!J95</f>
        <v>19.232788</v>
      </c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 t="n">
        <f aca="false">'APUS COMUNICACIONES'!J113</f>
        <v>16.371788</v>
      </c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 t="n">
        <f aca="false">'APUS COMUNICACIONES'!J131</f>
        <v>62.670152</v>
      </c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 t="n">
        <f aca="false">'APUS COMUNICACIONES'!J146</f>
        <v>58.850152</v>
      </c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 t="n">
        <f aca="false">'APUS COMUNICACIONES'!J161</f>
        <v>57.880152</v>
      </c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 t="n">
        <f aca="false">'APUS COMUNICACIONES'!J176</f>
        <v>99.34046</v>
      </c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28" t="n">
        <f aca="false">'APUS COMUNICACIONES'!J422</f>
        <v>633.6988</v>
      </c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28" t="n">
        <f aca="false">'APUS COMUNICACIONES'!J440</f>
        <v>520.8388</v>
      </c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28" t="n">
        <f aca="false">'APUS COMUNICACIONES'!J469</f>
        <v>367.6688</v>
      </c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28" t="n">
        <f aca="false">'APUS COMUNICACIONES'!J497</f>
        <v>96.14409</v>
      </c>
    </row>
    <row r="91" customFormat="false" ht="15" hidden="false" customHeight="false" outlineLevel="0" collapsed="false">
      <c r="H91" s="28" t="n">
        <f aca="false">'APUS COMUNICACIONES'!J513</f>
        <v>64.33069</v>
      </c>
    </row>
    <row r="99" customFormat="false" ht="15" hidden="false" customHeight="false" outlineLevel="0" collapsed="false">
      <c r="A99" s="251"/>
    </row>
    <row r="101" customFormat="false" ht="15" hidden="false" customHeight="false" outlineLevel="0" collapsed="false">
      <c r="G101" s="71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6" activeCellId="0" sqref="H16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'!D54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v>1.26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53"/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53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f aca="false">+E6+E6+E7+(1.15*3/28)</f>
        <v>2.64321428571429</v>
      </c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/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 t="n">
        <v>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 t="n">
        <v>1</v>
      </c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 t="n">
        <v>0.4</v>
      </c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 t="n">
        <f aca="false">(((17.65*2)+6.95*2-(2*0.9))/(120))</f>
        <v>0.395</v>
      </c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f aca="false">(0.75+1)*2.1/7.3</f>
        <v>0.503424657534247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/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+E13</f>
        <v>2.64321428571429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/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E44" s="270" t="n">
        <f aca="false">2/9.33</f>
        <v>0.214362272240086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E45" s="270" t="n">
        <f aca="false">2/9.33</f>
        <v>0.214362272240086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E46" s="270" t="n">
        <f aca="false">2/9.33</f>
        <v>0.214362272240086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 t="n">
        <f aca="false">2/9.33</f>
        <v>0.214362272240086</v>
      </c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 t="n">
        <f aca="false">2/9.33</f>
        <v>0.214362272240086</v>
      </c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 t="n">
        <f aca="false">2/9.33</f>
        <v>0.214362272240086</v>
      </c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 t="n">
        <f aca="false">2/9.33</f>
        <v>0.214362272240086</v>
      </c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1/9.33</f>
        <v>0.107181136120043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1/9.33</f>
        <v>0.107181136120043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1/9.33</f>
        <v>0.107181136120043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 t="n">
        <f aca="false">1/9.33</f>
        <v>0.107181136120043</v>
      </c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1/9.33</f>
        <v>0.107181136120043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1/9.33</f>
        <v>0.107181136120043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 t="n">
        <f aca="false">'APUS COMUNICACIONES'!J5</f>
        <v>279.8531</v>
      </c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 t="n">
        <f aca="false">'APUS COMUNICACIONES'!J23</f>
        <v>95.8431</v>
      </c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 t="n">
        <f aca="false">'APUS COMUNICACIONES'!J41</f>
        <v>95.8431</v>
      </c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 t="n">
        <f aca="false">'APUS COMUNICACIONES'!J59</f>
        <v>26.403334</v>
      </c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 t="n">
        <f aca="false">'APUS COMUNICACIONES'!J77</f>
        <v>25.004334</v>
      </c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 t="n">
        <f aca="false">'APUS COMUNICACIONES'!J95</f>
        <v>19.232788</v>
      </c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 t="n">
        <f aca="false">'APUS COMUNICACIONES'!J113</f>
        <v>16.371788</v>
      </c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 t="n">
        <f aca="false">'APUS COMUNICACIONES'!J131</f>
        <v>62.670152</v>
      </c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 t="n">
        <f aca="false">'APUS COMUNICACIONES'!J146</f>
        <v>58.850152</v>
      </c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 t="n">
        <f aca="false">'APUS COMUNICACIONES'!J161</f>
        <v>57.880152</v>
      </c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 t="n">
        <f aca="false">'APUS COMUNICACIONES'!J176</f>
        <v>99.34046</v>
      </c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28" t="n">
        <f aca="false">'APUS COMUNICACIONES'!J422</f>
        <v>633.6988</v>
      </c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28" t="n">
        <f aca="false">'APUS COMUNICACIONES'!J440</f>
        <v>520.8388</v>
      </c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28" t="n">
        <f aca="false">'APUS COMUNICACIONES'!J469</f>
        <v>367.6688</v>
      </c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28" t="n">
        <f aca="false">'APUS COMUNICACIONES'!J497</f>
        <v>96.14409</v>
      </c>
    </row>
    <row r="91" customFormat="false" ht="15" hidden="false" customHeight="false" outlineLevel="0" collapsed="false">
      <c r="H91" s="28" t="n">
        <f aca="false">'APUS COMUNICACIONES'!J513</f>
        <v>64.33069</v>
      </c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'!D55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(((2.8*4+6.95)*3)-(0.2*60))/60</f>
        <v>0.7075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53" t="n">
        <f aca="false">6.95*3/60</f>
        <v>0.3475</v>
      </c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53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f aca="false">((4*8.65)*3)/60</f>
        <v>1.73</v>
      </c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((2*8.65*3.3)+((8.65/2)*3.3)-(60*0.2)-(2*0.75*2.1))/60</f>
        <v>0.936875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 t="n">
        <v>1.1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 t="n">
        <v>1</v>
      </c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 t="n">
        <f aca="false">((6.95+8.65)*2-(2*1))/64</f>
        <v>0.45625</v>
      </c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f aca="false">2*2.1/60</f>
        <v>0.07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 t="n">
        <f aca="false">(64*0.25)/64</f>
        <v>0.25</v>
      </c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E18+E13</f>
        <v>1.73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 t="n">
        <f aca="false">E14</f>
        <v>0.936875</v>
      </c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 t="n">
        <v>0.02</v>
      </c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 t="n">
        <v>0.02</v>
      </c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 t="n">
        <v>0.02</v>
      </c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30/120</f>
        <v>0.25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30/120</f>
        <v>0.25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30/120</f>
        <v>0.25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 t="n">
        <f aca="false">3/120</f>
        <v>0.025</v>
      </c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(64/10)/60</f>
        <v>0.106666666666667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(64/10)/60</f>
        <v>0.106666666666667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1100</v>
      </c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1101</v>
      </c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1124</v>
      </c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'!D56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(((2.8*4+6.95)*3)-(0.2*60))/60</f>
        <v>0.7075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53" t="n">
        <f aca="false">6.95*3/60</f>
        <v>0.3475</v>
      </c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53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f aca="false">((4*8.65)*3)/60</f>
        <v>1.73</v>
      </c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((2*8.65*3.3)+((8.65/2)*3.3)-(60*0.2)-(2*0.75*2.1))/60</f>
        <v>0.936875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 t="n">
        <v>1.1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 t="n">
        <v>1</v>
      </c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 t="n">
        <f aca="false">((6.95+8.65)*2-(2*1))/64</f>
        <v>0.45625</v>
      </c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f aca="false">2*2.1/60</f>
        <v>0.07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 t="n">
        <f aca="false">(64*0.25)/64</f>
        <v>0.25</v>
      </c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E18+E13</f>
        <v>1.73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 t="n">
        <f aca="false">E14</f>
        <v>0.936875</v>
      </c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 t="n">
        <v>0.02</v>
      </c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 t="n">
        <v>0.02</v>
      </c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 t="n">
        <v>0.02</v>
      </c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30/120</f>
        <v>0.25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30/120</f>
        <v>0.25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30/120</f>
        <v>0.25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 t="n">
        <f aca="false">3/120</f>
        <v>0.025</v>
      </c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(64/10)/60</f>
        <v>0.106666666666667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(64/10)/60</f>
        <v>0.106666666666667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1100</v>
      </c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1101</v>
      </c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1124</v>
      </c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'!D57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(((2.8*4+6.95)*3)-(0.2*60))/60</f>
        <v>0.7075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53" t="n">
        <f aca="false">6.95*3/60</f>
        <v>0.3475</v>
      </c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53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f aca="false">((4*8.65)*3)/60</f>
        <v>1.73</v>
      </c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((2*8.65*3.3)+((8.65/2)*3.3)-(60*0.2)-(2*0.75*2.1))/60</f>
        <v>0.936875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 t="n">
        <v>1.1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 t="n">
        <v>1</v>
      </c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 t="n">
        <f aca="false">((6.95+8.65)*2-(2*1))/64</f>
        <v>0.45625</v>
      </c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f aca="false">2*2.1/60</f>
        <v>0.07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 t="n">
        <f aca="false">(64*0.25)/64</f>
        <v>0.25</v>
      </c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E18+E13</f>
        <v>1.73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 t="n">
        <f aca="false">E14</f>
        <v>0.936875</v>
      </c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 t="n">
        <v>0.02</v>
      </c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 t="n">
        <v>0.02</v>
      </c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 t="n">
        <v>0.02</v>
      </c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30/120</f>
        <v>0.25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30/120</f>
        <v>0.25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30/120</f>
        <v>0.25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 t="n">
        <f aca="false">3/120</f>
        <v>0.025</v>
      </c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(64/10)/60</f>
        <v>0.106666666666667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(64/10)/60</f>
        <v>0.106666666666667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1100</v>
      </c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1101</v>
      </c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1124</v>
      </c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'!D58</f>
        <v>638.3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647777.663882509</v>
      </c>
      <c r="L4" s="157" t="s">
        <v>1369</v>
      </c>
      <c r="M4" s="252" t="n">
        <f aca="false">J4/M2</f>
        <v>1014.8482905883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(((2.8*4+6.95)*3)-(0.2*60))/60</f>
        <v>0.7075</v>
      </c>
      <c r="F6" s="227" t="s">
        <v>134</v>
      </c>
      <c r="G6" s="71" t="n">
        <f aca="false">E6*$M$2</f>
        <v>451.59725</v>
      </c>
      <c r="H6" s="28" t="n">
        <f aca="false">'APUS ARQUITECTURA'!J5</f>
        <v>135.824337926792</v>
      </c>
      <c r="I6" s="1" t="n">
        <f aca="false">G6*H6</f>
        <v>61337.89749081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53" t="n">
        <f aca="false">6.95*3/60</f>
        <v>0.3475</v>
      </c>
      <c r="F7" s="227" t="s">
        <v>134</v>
      </c>
      <c r="G7" s="71" t="n">
        <f aca="false">E7*$M$2</f>
        <v>221.80925</v>
      </c>
      <c r="H7" s="28" t="n">
        <f aca="false">'APUS ARQUITECTURA'!J32</f>
        <v>150.0657</v>
      </c>
      <c r="I7" s="1" t="n">
        <f aca="false">G7*H7</f>
        <v>33285.960367725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53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f aca="false">((4*8.65)*3)/60</f>
        <v>1.73</v>
      </c>
      <c r="F13" s="1" t="s">
        <v>134</v>
      </c>
      <c r="G13" s="71" t="n">
        <f aca="false">E13*$M$2</f>
        <v>1104.259</v>
      </c>
      <c r="H13" s="28" t="n">
        <f aca="false">'APUS ARQUITECTURA'!J127</f>
        <v>27.1229651333333</v>
      </c>
      <c r="I13" s="1" t="n">
        <f aca="false">G13*H13</f>
        <v>29950.7783551695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((2*8.65*3.3)+((8.65/2)*3.3)-(60*0.2)-(2*0.75*2.1))/60</f>
        <v>0.936875</v>
      </c>
      <c r="F14" s="1" t="s">
        <v>134</v>
      </c>
      <c r="G14" s="71" t="n">
        <f aca="false">E14*$M$2</f>
        <v>598.0073125</v>
      </c>
      <c r="H14" s="28" t="n">
        <f aca="false">'APUS ARQUITECTURA'!J148</f>
        <v>35.8409626666667</v>
      </c>
      <c r="I14" s="1" t="n">
        <f aca="false">G14*H14</f>
        <v>21433.1577617062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 t="n">
        <v>1.1</v>
      </c>
      <c r="F19" s="1" t="s">
        <v>204</v>
      </c>
      <c r="G19" s="71" t="n">
        <f aca="false">E19*$M$2</f>
        <v>702.13</v>
      </c>
      <c r="H19" s="28" t="n">
        <f aca="false">'APUS ARQUITECTURA'!J212</f>
        <v>62.663358</v>
      </c>
      <c r="I19" s="1" t="n">
        <f aca="false">G19*H19</f>
        <v>43997.82355254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v>1</v>
      </c>
      <c r="F21" s="1" t="s">
        <v>134</v>
      </c>
      <c r="G21" s="71" t="n">
        <f aca="false">E21*$M$2</f>
        <v>638.3</v>
      </c>
      <c r="H21" s="28" t="n">
        <f aca="false">'APUS ARQUITECTURA'!J232</f>
        <v>40.18468579</v>
      </c>
      <c r="I21" s="1" t="n">
        <f aca="false">G21*H21</f>
        <v>25649.884939757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 t="n">
        <v>1</v>
      </c>
      <c r="F26" s="1" t="s">
        <v>134</v>
      </c>
      <c r="G26" s="71" t="n">
        <f aca="false">E26*$M$2</f>
        <v>638.3</v>
      </c>
      <c r="H26" s="28" t="n">
        <f aca="false">'APUS ARQUITECTURA'!J340</f>
        <v>201.23</v>
      </c>
      <c r="I26" s="1" t="n">
        <f aca="false">G26*H26</f>
        <v>128445.109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261.497096774194</v>
      </c>
      <c r="H29" s="28" t="n">
        <f aca="false">'APUS ARQUITECTURA'!J364</f>
        <v>26.68748</v>
      </c>
      <c r="I29" s="1" t="n">
        <f aca="false">G29*H29</f>
        <v>6978.69854021936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 t="n">
        <f aca="false">((6.95+8.65)*2-(2*1))/64</f>
        <v>0.45625</v>
      </c>
      <c r="F31" s="1" t="s">
        <v>145</v>
      </c>
      <c r="G31" s="71" t="n">
        <f aca="false">E31*$M$2</f>
        <v>291.224375</v>
      </c>
      <c r="H31" s="28" t="n">
        <f aca="false">'APUS ARQUITECTURA'!J403</f>
        <v>25</v>
      </c>
      <c r="I31" s="1" t="n">
        <f aca="false">G31*H31</f>
        <v>7280.609375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f aca="false">2*2.1/60</f>
        <v>0.07</v>
      </c>
      <c r="F35" s="1" t="s">
        <v>134</v>
      </c>
      <c r="G35" s="71" t="n">
        <f aca="false">E35*$M$2</f>
        <v>44.681</v>
      </c>
      <c r="H35" s="28" t="n">
        <f aca="false">'APUS ARQUITECTURA'!J449</f>
        <v>560.6226</v>
      </c>
      <c r="I35" s="1" t="n">
        <f aca="false">G35*H35</f>
        <v>25049.1783906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 t="n">
        <f aca="false">(64*0.25)/64</f>
        <v>0.25</v>
      </c>
      <c r="F36" s="1" t="s">
        <v>134</v>
      </c>
      <c r="G36" s="71" t="n">
        <f aca="false">E36*$M$2</f>
        <v>159.575</v>
      </c>
      <c r="H36" s="28" t="n">
        <f aca="false">'APUS ARQUITECTURA'!J456</f>
        <v>367.870834240906</v>
      </c>
      <c r="I36" s="1" t="n">
        <f aca="false">G36*H36</f>
        <v>58702.9883739926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82.979</v>
      </c>
      <c r="H38" s="28" t="n">
        <f aca="false">'APUS ARQUITECTURA'!J470</f>
        <v>622.13</v>
      </c>
      <c r="I38" s="1" t="n">
        <f aca="false">G38*H38</f>
        <v>51623.72527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E18+E13</f>
        <v>1.73</v>
      </c>
      <c r="F41" s="1" t="s">
        <v>134</v>
      </c>
      <c r="G41" s="71" t="n">
        <f aca="false">E41*$M$2</f>
        <v>1104.259</v>
      </c>
      <c r="H41" s="28" t="n">
        <f aca="false">'APUS ARQUITECTURA'!J484</f>
        <v>15.625164</v>
      </c>
      <c r="I41" s="1" t="n">
        <f aca="false">G41*H41</f>
        <v>17254.227973476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 t="n">
        <f aca="false">E14</f>
        <v>0.936875</v>
      </c>
      <c r="F42" s="109" t="s">
        <v>134</v>
      </c>
      <c r="G42" s="71" t="n">
        <f aca="false">E42*$M$2</f>
        <v>598.0073125</v>
      </c>
      <c r="H42" s="28" t="n">
        <f aca="false">'APUS ARQUITECTURA'!J504</f>
        <v>15.9562854545455</v>
      </c>
      <c r="I42" s="1" t="n">
        <f aca="false">G42*H42</f>
        <v>9541.97538215557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61.2768</v>
      </c>
      <c r="H52" s="28" t="n">
        <f aca="false">'APUS SANITARIAS'!J91</f>
        <v>158.148033208747</v>
      </c>
      <c r="I52" s="1" t="n">
        <f aca="false">G52*H52</f>
        <v>9690.80540132572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 t="n">
        <v>0.02</v>
      </c>
      <c r="F53" s="1" t="s">
        <v>215</v>
      </c>
      <c r="G53" s="71" t="n">
        <f aca="false">E53*$M$2</f>
        <v>12.766</v>
      </c>
      <c r="H53" s="28" t="n">
        <f aca="false">'APUS SANITARIAS'!J108</f>
        <v>138.64528</v>
      </c>
      <c r="I53" s="1" t="n">
        <f aca="false">G53*H53</f>
        <v>1769.94564448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 t="n">
        <v>0.02</v>
      </c>
      <c r="F54" s="1" t="s">
        <v>215</v>
      </c>
      <c r="G54" s="71" t="n">
        <f aca="false">E54*$M$2</f>
        <v>12.766</v>
      </c>
      <c r="H54" s="28" t="n">
        <f aca="false">'APUS SANITARIAS'!J127</f>
        <v>145.93578</v>
      </c>
      <c r="I54" s="1" t="n">
        <f aca="false">G54*H54</f>
        <v>1863.01616748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 t="n">
        <v>0.02</v>
      </c>
      <c r="F55" s="1" t="s">
        <v>215</v>
      </c>
      <c r="G55" s="71" t="n">
        <f aca="false">E55*$M$2</f>
        <v>12.766</v>
      </c>
      <c r="H55" s="28" t="n">
        <f aca="false">'APUS SANITARIAS'!J145</f>
        <v>141.07118</v>
      </c>
      <c r="I55" s="1" t="n">
        <f aca="false">G55*H55</f>
        <v>1800.91468388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30/120</f>
        <v>0.25</v>
      </c>
      <c r="F59" s="1" t="s">
        <v>215</v>
      </c>
      <c r="G59" s="71" t="n">
        <f aca="false">E59*$M$2</f>
        <v>159.575</v>
      </c>
      <c r="H59" s="28" t="n">
        <f aca="false">'APUS ELECTRICAS'!J5</f>
        <v>121.043104</v>
      </c>
      <c r="I59" s="1" t="n">
        <f aca="false">G59*H59</f>
        <v>19315.4533208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30/120</f>
        <v>0.25</v>
      </c>
      <c r="F60" s="1" t="s">
        <v>215</v>
      </c>
      <c r="G60" s="71" t="n">
        <f aca="false">E60*$M$2</f>
        <v>159.575</v>
      </c>
      <c r="H60" s="28" t="n">
        <f aca="false">'APUS ELECTRICAS'!J26</f>
        <v>163.73838</v>
      </c>
      <c r="I60" s="1" t="n">
        <f aca="false">G60*H60</f>
        <v>26128.5519885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30/120</f>
        <v>0.25</v>
      </c>
      <c r="F61" s="1" t="s">
        <v>215</v>
      </c>
      <c r="G61" s="71" t="n">
        <f aca="false">E61*$M$2</f>
        <v>159.575</v>
      </c>
      <c r="H61" s="28" t="n">
        <f aca="false">'APUS ELECTRICAS'!J48</f>
        <v>118.3069</v>
      </c>
      <c r="I61" s="1" t="n">
        <f aca="false">G61*H61</f>
        <v>18878.8235675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 t="n">
        <f aca="false">3/120</f>
        <v>0.025</v>
      </c>
      <c r="F62" s="1" t="s">
        <v>215</v>
      </c>
      <c r="G62" s="71" t="n">
        <f aca="false">E62*$M$2</f>
        <v>15.9575</v>
      </c>
      <c r="H62" s="28" t="n">
        <f aca="false">'APUS ELECTRICAS'!J66</f>
        <v>7.34</v>
      </c>
      <c r="I62" s="1" t="n">
        <f aca="false">G62*H62</f>
        <v>117.12805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(64/10)/60</f>
        <v>0.106666666666667</v>
      </c>
      <c r="F64" s="1" t="s">
        <v>150</v>
      </c>
      <c r="G64" s="71" t="n">
        <f aca="false">E64*$M$2</f>
        <v>68.0853333333333</v>
      </c>
      <c r="H64" s="28" t="n">
        <f aca="false">'APUS ELECTRICAS'!J74</f>
        <v>396.145032</v>
      </c>
      <c r="I64" s="1" t="n">
        <f aca="false">G64*H64</f>
        <v>26971.666552064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(64/10)/60</f>
        <v>0.106666666666667</v>
      </c>
      <c r="F65" s="1" t="s">
        <v>150</v>
      </c>
      <c r="G65" s="71" t="n">
        <f aca="false">E65*$M$2</f>
        <v>68.0853333333333</v>
      </c>
      <c r="H65" s="28" t="n">
        <f aca="false">'APUS ELECTRICAS'!J88</f>
        <v>105.9636</v>
      </c>
      <c r="I65" s="1" t="n">
        <f aca="false">G65*H65</f>
        <v>7214.5670272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1100</v>
      </c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1101</v>
      </c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8.27829351535836</v>
      </c>
      <c r="H72" s="152" t="n">
        <f aca="false">'APUS COMUNICACIONES'!J5</f>
        <v>279.8531</v>
      </c>
      <c r="I72" s="1" t="n">
        <f aca="false">G72*H72</f>
        <v>2316.70610298293</v>
      </c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4.35699658703072</v>
      </c>
      <c r="H73" s="152" t="n">
        <f aca="false">'APUS COMUNICACIONES'!J23</f>
        <v>95.8431</v>
      </c>
      <c r="I73" s="1" t="n">
        <f aca="false">G73*H73</f>
        <v>417.588059590444</v>
      </c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7.40689419795222</v>
      </c>
      <c r="H74" s="152" t="n">
        <f aca="false">'APUS COMUNICACIONES'!J41</f>
        <v>95.8431</v>
      </c>
      <c r="I74" s="1" t="n">
        <f aca="false">G74*H74</f>
        <v>709.899701303754</v>
      </c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2.07393037542662</v>
      </c>
      <c r="H75" s="152" t="n">
        <f aca="false">'APUS COMUNICACIONES'!J59</f>
        <v>26.403334</v>
      </c>
      <c r="I75" s="1" t="n">
        <f aca="false">G75*H75</f>
        <v>54.7586763951345</v>
      </c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43.2693331058021</v>
      </c>
      <c r="H76" s="152" t="n">
        <f aca="false">'APUS COMUNICACIONES'!J77</f>
        <v>25.004334</v>
      </c>
      <c r="I76" s="1" t="n">
        <f aca="false">G76*H76</f>
        <v>1081.92085693473</v>
      </c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175.051051877133</v>
      </c>
      <c r="H77" s="152" t="n">
        <f aca="false">'APUS COMUNICACIONES'!J95</f>
        <v>19.232788</v>
      </c>
      <c r="I77" s="1" t="n">
        <f aca="false">G77*H77</f>
        <v>3366.7197699299</v>
      </c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1.02825119453925</v>
      </c>
      <c r="H78" s="152" t="n">
        <f aca="false">'APUS COMUNICACIONES'!J113</f>
        <v>16.371788</v>
      </c>
      <c r="I78" s="1" t="n">
        <f aca="false">G78*H78</f>
        <v>16.8343105677433</v>
      </c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4.35699658703072</v>
      </c>
      <c r="H79" s="152" t="n">
        <f aca="false">'APUS COMUNICACIONES'!J131</f>
        <v>62.670152</v>
      </c>
      <c r="I79" s="1" t="n">
        <f aca="false">G79*H79</f>
        <v>273.053638372696</v>
      </c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8.27829351535836</v>
      </c>
      <c r="H80" s="152" t="n">
        <f aca="false">'APUS COMUNICACIONES'!J146</f>
        <v>58.850152</v>
      </c>
      <c r="I80" s="1" t="n">
        <f aca="false">G80*H80</f>
        <v>487.178831679454</v>
      </c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1.30709897610921</v>
      </c>
      <c r="H81" s="152" t="n">
        <f aca="false">'APUS COMUNICACIONES'!J161</f>
        <v>57.880152</v>
      </c>
      <c r="I81" s="1" t="n">
        <f aca="false">G81*H81</f>
        <v>75.6550874162457</v>
      </c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8.06044368600683</v>
      </c>
      <c r="H82" s="152" t="n">
        <f aca="false">'APUS COMUNICACIONES'!J176</f>
        <v>99.34046</v>
      </c>
      <c r="I82" s="1" t="n">
        <f aca="false">G82*H82</f>
        <v>800.728183572014</v>
      </c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1124</v>
      </c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1.74279863481229</v>
      </c>
      <c r="H85" s="28" t="n">
        <f aca="false">'APUS COMUNICACIONES'!J422</f>
        <v>633.6988</v>
      </c>
      <c r="I85" s="1" t="n">
        <f aca="false">G85*H85</f>
        <v>1104.40940352218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1.74279863481229</v>
      </c>
      <c r="H86" s="28" t="n">
        <f aca="false">'APUS COMUNICACIONES'!J440</f>
        <v>520.8388</v>
      </c>
      <c r="I86" s="1" t="n">
        <f aca="false">G86*H86</f>
        <v>907.71714959727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4.35699658703072</v>
      </c>
      <c r="H88" s="28" t="n">
        <f aca="false">'APUS COMUNICACIONES'!J469</f>
        <v>367.6688</v>
      </c>
      <c r="I88" s="1" t="n">
        <f aca="false">G88*H88</f>
        <v>1601.93170675768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1.74279863481229</v>
      </c>
      <c r="H90" s="28" t="n">
        <f aca="false">'APUS COMUNICACIONES'!J497</f>
        <v>96.14409</v>
      </c>
      <c r="I90" s="1" t="n">
        <f aca="false">G90*H90</f>
        <v>167.55978879727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1.74279863481229</v>
      </c>
      <c r="H91" s="28" t="n">
        <f aca="false">'APUS COMUNICACIONES'!J513</f>
        <v>64.33069</v>
      </c>
      <c r="I91" s="1" t="n">
        <f aca="false">G91*H91</f>
        <v>112.115438708532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'!D59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SUM(I5:I93)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(((2.8*4+6.95)*3)-(0.2*60))/60</f>
        <v>0.7075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53" t="n">
        <f aca="false">6.95*3/60</f>
        <v>0.3475</v>
      </c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53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f aca="false">((4*8.65)*3)/60</f>
        <v>1.73</v>
      </c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((2*8.65*3.3)+((8.65/2)*3.3)-(60*0.2)-(2*0.75*2.1))/60</f>
        <v>0.936875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 t="n">
        <v>1.1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 t="n">
        <v>1</v>
      </c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 t="n">
        <f aca="false">((6.95+8.65)*2-(2*1))/64</f>
        <v>0.45625</v>
      </c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f aca="false">2*2.1/60</f>
        <v>0.07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 t="n">
        <f aca="false">(64*0.25)/64</f>
        <v>0.25</v>
      </c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E18+E13</f>
        <v>1.73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 t="n">
        <f aca="false">E14</f>
        <v>0.936875</v>
      </c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 t="n">
        <v>0.02</v>
      </c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 t="n">
        <v>0.02</v>
      </c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 t="n">
        <v>0.02</v>
      </c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30/120</f>
        <v>0.25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30/120</f>
        <v>0.25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30/120</f>
        <v>0.25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 t="n">
        <f aca="false">3/120</f>
        <v>0.025</v>
      </c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(64/10)/60</f>
        <v>0.106666666666667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(64/10)/60</f>
        <v>0.106666666666667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1100</v>
      </c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1101</v>
      </c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1124</v>
      </c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'!D60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(((2.8*4+6.95)*3)-(0.2*60))/60</f>
        <v>0.7075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53" t="n">
        <f aca="false">6.95*3/60</f>
        <v>0.3475</v>
      </c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53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f aca="false">((4*8.65)*3)/60</f>
        <v>1.73</v>
      </c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((2*8.65*3.3)+((8.65/2)*3.3)-(60*0.2)-(2*0.75*2.1))/60</f>
        <v>0.936875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 t="n">
        <v>1.1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 t="n">
        <v>1</v>
      </c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 t="n">
        <f aca="false">((6.95+8.65)*2-(2*1))/64</f>
        <v>0.45625</v>
      </c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f aca="false">2*2.1/60</f>
        <v>0.07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 t="n">
        <f aca="false">(64*0.25)/64</f>
        <v>0.25</v>
      </c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E18+E13</f>
        <v>1.73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 t="n">
        <f aca="false">E14</f>
        <v>0.936875</v>
      </c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 t="n">
        <v>0.02</v>
      </c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 t="n">
        <v>0.02</v>
      </c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 t="n">
        <v>0.02</v>
      </c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30/120</f>
        <v>0.25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30/120</f>
        <v>0.25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30/120</f>
        <v>0.25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 t="n">
        <f aca="false">3/120</f>
        <v>0.025</v>
      </c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(64/10)/60</f>
        <v>0.106666666666667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(64/10)/60</f>
        <v>0.106666666666667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1100</v>
      </c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1101</v>
      </c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1124</v>
      </c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'!D61</f>
        <v>149.8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152024.273930127</v>
      </c>
      <c r="L4" s="157" t="s">
        <v>1369</v>
      </c>
      <c r="M4" s="252" t="n">
        <f aca="false">J4/M2</f>
        <v>1014.8482905883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53" t="n">
        <f aca="false">(((2.8*4+6.95)*3)-(0.2*60))/60</f>
        <v>0.7075</v>
      </c>
      <c r="F6" s="227" t="s">
        <v>134</v>
      </c>
      <c r="G6" s="71" t="n">
        <f aca="false">E6*$M$2</f>
        <v>105.9835</v>
      </c>
      <c r="H6" s="28" t="n">
        <f aca="false">'APUS ARQUITECTURA'!J5</f>
        <v>135.824337926792</v>
      </c>
      <c r="I6" s="1" t="n">
        <f aca="false">G6*H6</f>
        <v>14395.1387186642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53" t="n">
        <f aca="false">6.95*3/60</f>
        <v>0.3475</v>
      </c>
      <c r="F7" s="227" t="s">
        <v>134</v>
      </c>
      <c r="G7" s="71" t="n">
        <f aca="false">E7*$M$2</f>
        <v>52.0555</v>
      </c>
      <c r="H7" s="28" t="n">
        <f aca="false">'APUS ARQUITECTURA'!J32</f>
        <v>150.0657</v>
      </c>
      <c r="I7" s="1" t="n">
        <f aca="false">G7*H7</f>
        <v>7811.74504635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53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199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199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53" t="n">
        <f aca="false">((4*8.65)*3)/60</f>
        <v>1.73</v>
      </c>
      <c r="F13" s="1" t="s">
        <v>134</v>
      </c>
      <c r="G13" s="71" t="n">
        <f aca="false">E13*$M$2</f>
        <v>259.154</v>
      </c>
      <c r="H13" s="28" t="n">
        <f aca="false">'APUS ARQUITECTURA'!J127</f>
        <v>27.1229651333333</v>
      </c>
      <c r="I13" s="1" t="n">
        <f aca="false">G13*H13</f>
        <v>7029.02490616387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53" t="n">
        <f aca="false">((2*8.65*3.3)+((8.65/2)*3.3)-(60*0.2)-(2*0.75*2.1))/60</f>
        <v>0.936875</v>
      </c>
      <c r="F14" s="1" t="s">
        <v>134</v>
      </c>
      <c r="G14" s="71" t="n">
        <f aca="false">E14*$M$2</f>
        <v>140.343875</v>
      </c>
      <c r="H14" s="28" t="n">
        <f aca="false">'APUS ARQUITECTURA'!J148</f>
        <v>35.8409626666667</v>
      </c>
      <c r="I14" s="1" t="n">
        <f aca="false">G14*H14</f>
        <v>5030.05958437033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53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53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53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53" t="n">
        <v>1.1</v>
      </c>
      <c r="F19" s="1" t="s">
        <v>204</v>
      </c>
      <c r="G19" s="71" t="n">
        <f aca="false">E19*$M$2</f>
        <v>164.78</v>
      </c>
      <c r="H19" s="28" t="n">
        <f aca="false">'APUS ARQUITECTURA'!J212</f>
        <v>62.663358</v>
      </c>
      <c r="I19" s="1" t="n">
        <f aca="false">G19*H19</f>
        <v>10325.66813124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53" t="n">
        <v>1</v>
      </c>
      <c r="F21" s="1" t="s">
        <v>134</v>
      </c>
      <c r="G21" s="71" t="n">
        <f aca="false">E21*$M$2</f>
        <v>149.8</v>
      </c>
      <c r="H21" s="28" t="n">
        <f aca="false">'APUS ARQUITECTURA'!J232</f>
        <v>40.18468579</v>
      </c>
      <c r="I21" s="1" t="n">
        <f aca="false">G21*H21</f>
        <v>6019.665931342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53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53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53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53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53" t="n">
        <v>1</v>
      </c>
      <c r="F26" s="1" t="s">
        <v>134</v>
      </c>
      <c r="G26" s="71" t="n">
        <f aca="false">E26*$M$2</f>
        <v>149.8</v>
      </c>
      <c r="H26" s="28" t="n">
        <f aca="false">'APUS ARQUITECTURA'!J340</f>
        <v>201.23</v>
      </c>
      <c r="I26" s="1" t="n">
        <f aca="false">G26*H26</f>
        <v>30144.254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53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53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53" t="n">
        <f aca="false">((2*8+2*6.95)-(4.5))/62</f>
        <v>0.409677419354839</v>
      </c>
      <c r="F29" s="1" t="s">
        <v>145</v>
      </c>
      <c r="G29" s="71" t="n">
        <f aca="false">E29*$M$2</f>
        <v>61.3696774193548</v>
      </c>
      <c r="H29" s="28" t="n">
        <f aca="false">'APUS ARQUITECTURA'!J364</f>
        <v>26.68748</v>
      </c>
      <c r="I29" s="1" t="n">
        <f aca="false">G29*H29</f>
        <v>1637.80203873548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53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53" t="n">
        <f aca="false">((6.95+8.65)*2-(2*1))/64</f>
        <v>0.45625</v>
      </c>
      <c r="F31" s="1" t="s">
        <v>145</v>
      </c>
      <c r="G31" s="71" t="n">
        <f aca="false">E31*$M$2</f>
        <v>68.34625</v>
      </c>
      <c r="H31" s="28" t="n">
        <f aca="false">'APUS ARQUITECTURA'!J403</f>
        <v>25</v>
      </c>
      <c r="I31" s="1" t="n">
        <f aca="false">G31*H31</f>
        <v>1708.65625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53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53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53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59" t="n">
        <f aca="false">2*2.1/60</f>
        <v>0.07</v>
      </c>
      <c r="F35" s="1" t="s">
        <v>134</v>
      </c>
      <c r="G35" s="71" t="n">
        <f aca="false">E35*$M$2</f>
        <v>10.486</v>
      </c>
      <c r="H35" s="28" t="n">
        <f aca="false">'APUS ARQUITECTURA'!J449</f>
        <v>560.6226</v>
      </c>
      <c r="I35" s="1" t="n">
        <f aca="false">G35*H35</f>
        <v>5878.6885836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53" t="n">
        <f aca="false">(64*0.25)/64</f>
        <v>0.25</v>
      </c>
      <c r="F36" s="1" t="s">
        <v>134</v>
      </c>
      <c r="G36" s="71" t="n">
        <f aca="false">E36*$M$2</f>
        <v>37.45</v>
      </c>
      <c r="H36" s="28" t="n">
        <f aca="false">'APUS ARQUITECTURA'!J456</f>
        <v>367.870834240906</v>
      </c>
      <c r="I36" s="1" t="n">
        <f aca="false">G36*H36</f>
        <v>13776.7627423219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63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199" t="n">
        <v>0.13</v>
      </c>
      <c r="F38" s="1" t="s">
        <v>145</v>
      </c>
      <c r="G38" s="71" t="n">
        <f aca="false">E38*$M$2</f>
        <v>19.474</v>
      </c>
      <c r="H38" s="28" t="n">
        <f aca="false">'APUS ARQUITECTURA'!J470</f>
        <v>622.13</v>
      </c>
      <c r="I38" s="1" t="n">
        <f aca="false">G38*H38</f>
        <v>12115.35962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53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53" t="n">
        <f aca="false">E18+E13</f>
        <v>1.73</v>
      </c>
      <c r="F41" s="1" t="s">
        <v>134</v>
      </c>
      <c r="G41" s="71" t="n">
        <f aca="false">E41*$M$2</f>
        <v>259.154</v>
      </c>
      <c r="H41" s="28" t="n">
        <f aca="false">'APUS ARQUITECTURA'!J484</f>
        <v>15.625164</v>
      </c>
      <c r="I41" s="1" t="n">
        <f aca="false">G41*H41</f>
        <v>4049.323751256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53" t="n">
        <f aca="false">E14</f>
        <v>0.936875</v>
      </c>
      <c r="F42" s="109" t="s">
        <v>134</v>
      </c>
      <c r="G42" s="71" t="n">
        <f aca="false">E42*$M$2</f>
        <v>140.343875</v>
      </c>
      <c r="H42" s="28" t="n">
        <f aca="false">'APUS ARQUITECTURA'!J504</f>
        <v>15.9562854545455</v>
      </c>
      <c r="I42" s="1" t="n">
        <f aca="false">G42*H42</f>
        <v>2239.36693129705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53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53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53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53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53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53" t="n">
        <f aca="false">12/125</f>
        <v>0.096</v>
      </c>
      <c r="F52" s="1" t="s">
        <v>215</v>
      </c>
      <c r="G52" s="71" t="n">
        <f aca="false">E52*$M$2</f>
        <v>14.3808</v>
      </c>
      <c r="H52" s="28" t="n">
        <f aca="false">'APUS SANITARIAS'!J91</f>
        <v>158.148033208747</v>
      </c>
      <c r="I52" s="1" t="n">
        <f aca="false">G52*H52</f>
        <v>2274.29523596834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53" t="n">
        <v>0.02</v>
      </c>
      <c r="F53" s="1" t="s">
        <v>215</v>
      </c>
      <c r="G53" s="71" t="n">
        <f aca="false">E53*$M$2</f>
        <v>2.996</v>
      </c>
      <c r="H53" s="28" t="n">
        <f aca="false">'APUS SANITARIAS'!J108</f>
        <v>138.64528</v>
      </c>
      <c r="I53" s="1" t="n">
        <f aca="false">G53*H53</f>
        <v>415.38125888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53" t="n">
        <v>0.02</v>
      </c>
      <c r="F54" s="1" t="s">
        <v>215</v>
      </c>
      <c r="G54" s="71" t="n">
        <f aca="false">E54*$M$2</f>
        <v>2.996</v>
      </c>
      <c r="H54" s="28" t="n">
        <f aca="false">'APUS SANITARIAS'!J127</f>
        <v>145.93578</v>
      </c>
      <c r="I54" s="1" t="n">
        <f aca="false">G54*H54</f>
        <v>437.22359688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53" t="n">
        <v>0.02</v>
      </c>
      <c r="F55" s="1" t="s">
        <v>215</v>
      </c>
      <c r="G55" s="71" t="n">
        <f aca="false">E55*$M$2</f>
        <v>2.996</v>
      </c>
      <c r="H55" s="28" t="n">
        <f aca="false">'APUS SANITARIAS'!J145</f>
        <v>141.07118</v>
      </c>
      <c r="I55" s="1" t="n">
        <f aca="false">G55*H55</f>
        <v>422.64925528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53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53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53" t="n">
        <f aca="false">30/120</f>
        <v>0.25</v>
      </c>
      <c r="F59" s="1" t="s">
        <v>215</v>
      </c>
      <c r="G59" s="71" t="n">
        <f aca="false">E59*$M$2</f>
        <v>37.45</v>
      </c>
      <c r="H59" s="28" t="n">
        <f aca="false">'APUS ELECTRICAS'!J5</f>
        <v>121.043104</v>
      </c>
      <c r="I59" s="1" t="n">
        <f aca="false">G59*H59</f>
        <v>4533.0642448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53" t="n">
        <f aca="false">30/120</f>
        <v>0.25</v>
      </c>
      <c r="F60" s="1" t="s">
        <v>215</v>
      </c>
      <c r="G60" s="71" t="n">
        <f aca="false">E60*$M$2</f>
        <v>37.45</v>
      </c>
      <c r="H60" s="28" t="n">
        <f aca="false">'APUS ELECTRICAS'!J26</f>
        <v>163.73838</v>
      </c>
      <c r="I60" s="1" t="n">
        <f aca="false">G60*H60</f>
        <v>6132.002331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53" t="n">
        <f aca="false">30/120</f>
        <v>0.25</v>
      </c>
      <c r="F61" s="1" t="s">
        <v>215</v>
      </c>
      <c r="G61" s="71" t="n">
        <f aca="false">E61*$M$2</f>
        <v>37.45</v>
      </c>
      <c r="H61" s="28" t="n">
        <f aca="false">'APUS ELECTRICAS'!J48</f>
        <v>118.3069</v>
      </c>
      <c r="I61" s="1" t="n">
        <f aca="false">G61*H61</f>
        <v>4430.593405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53" t="n">
        <f aca="false">3/120</f>
        <v>0.025</v>
      </c>
      <c r="F62" s="1" t="s">
        <v>215</v>
      </c>
      <c r="G62" s="71" t="n">
        <f aca="false">E62*$M$2</f>
        <v>3.745</v>
      </c>
      <c r="H62" s="28" t="n">
        <f aca="false">'APUS ELECTRICAS'!J66</f>
        <v>7.34</v>
      </c>
      <c r="I62" s="1" t="n">
        <f aca="false">G62*H62</f>
        <v>27.4883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53" t="n">
        <f aca="false">(64/10)/60</f>
        <v>0.106666666666667</v>
      </c>
      <c r="F64" s="1" t="s">
        <v>150</v>
      </c>
      <c r="G64" s="71" t="n">
        <f aca="false">E64*$M$2</f>
        <v>15.9786666666667</v>
      </c>
      <c r="H64" s="28" t="n">
        <f aca="false">'APUS ELECTRICAS'!J74</f>
        <v>396.145032</v>
      </c>
      <c r="I64" s="1" t="n">
        <f aca="false">G64*H64</f>
        <v>6329.869417984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53" t="n">
        <f aca="false">(64/10)/60</f>
        <v>0.106666666666667</v>
      </c>
      <c r="F65" s="1" t="s">
        <v>150</v>
      </c>
      <c r="G65" s="71" t="n">
        <f aca="false">E65*$M$2</f>
        <v>15.9786666666667</v>
      </c>
      <c r="H65" s="28" t="n">
        <f aca="false">'APUS ELECTRICAS'!J88</f>
        <v>105.9636</v>
      </c>
      <c r="I65" s="1" t="n">
        <f aca="false">G65*H65</f>
        <v>1693.1570432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53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53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1100</v>
      </c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1101</v>
      </c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1.94279863481229</v>
      </c>
      <c r="H72" s="152" t="n">
        <f aca="false">'APUS COMUNICACIONES'!J5</f>
        <v>279.8531</v>
      </c>
      <c r="I72" s="1" t="n">
        <f aca="false">G72*H72</f>
        <v>543.698220627986</v>
      </c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1.02252559726962</v>
      </c>
      <c r="H73" s="152" t="n">
        <f aca="false">'APUS COMUNICACIONES'!J23</f>
        <v>95.8431</v>
      </c>
      <c r="I73" s="1" t="n">
        <f aca="false">G73*H73</f>
        <v>98.0020230716723</v>
      </c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1.73829351535836</v>
      </c>
      <c r="H74" s="152" t="n">
        <f aca="false">'APUS COMUNICACIONES'!J41</f>
        <v>95.8431</v>
      </c>
      <c r="I74" s="1" t="n">
        <f aca="false">G74*H74</f>
        <v>166.603439221843</v>
      </c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0.486722184300341</v>
      </c>
      <c r="H75" s="152" t="n">
        <f aca="false">'APUS COMUNICACIONES'!J59</f>
        <v>26.403334</v>
      </c>
      <c r="I75" s="1" t="n">
        <f aca="false">G75*H75</f>
        <v>12.8510883972915</v>
      </c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10.1547017064846</v>
      </c>
      <c r="H76" s="152" t="n">
        <f aca="false">'APUS COMUNICACIONES'!J77</f>
        <v>25.004334</v>
      </c>
      <c r="I76" s="1" t="n">
        <f aca="false">G76*H76</f>
        <v>253.911553139312</v>
      </c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41.0820109215017</v>
      </c>
      <c r="H77" s="152" t="n">
        <f aca="false">'APUS COMUNICACIONES'!J95</f>
        <v>19.232788</v>
      </c>
      <c r="I77" s="1" t="n">
        <f aca="false">G77*H77</f>
        <v>790.121606666927</v>
      </c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0.241316040955631</v>
      </c>
      <c r="H78" s="152" t="n">
        <f aca="false">'APUS COMUNICACIONES'!J113</f>
        <v>16.371788</v>
      </c>
      <c r="I78" s="1" t="n">
        <f aca="false">G78*H78</f>
        <v>3.95077506352492</v>
      </c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1.02252559726962</v>
      </c>
      <c r="H79" s="152" t="n">
        <f aca="false">'APUS COMUNICACIONES'!J131</f>
        <v>62.670152</v>
      </c>
      <c r="I79" s="1" t="n">
        <f aca="false">G79*H79</f>
        <v>64.0818346047782</v>
      </c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1.94279863481229</v>
      </c>
      <c r="H80" s="152" t="n">
        <f aca="false">'APUS COMUNICACIONES'!J146</f>
        <v>58.850152</v>
      </c>
      <c r="I80" s="1" t="n">
        <f aca="false">G80*H80</f>
        <v>114.333994964096</v>
      </c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0.306757679180887</v>
      </c>
      <c r="H81" s="152" t="n">
        <f aca="false">'APUS COMUNICACIONES'!J161</f>
        <v>57.880152</v>
      </c>
      <c r="I81" s="1" t="n">
        <f aca="false">G81*H81</f>
        <v>17.755181098157</v>
      </c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1.89167235494881</v>
      </c>
      <c r="H82" s="152" t="n">
        <f aca="false">'APUS COMUNICACIONES'!J176</f>
        <v>99.34046</v>
      </c>
      <c r="I82" s="1" t="n">
        <f aca="false">G82*H82</f>
        <v>187.919601909898</v>
      </c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1124</v>
      </c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0.40901023890785</v>
      </c>
      <c r="H85" s="28" t="n">
        <f aca="false">'APUS COMUNICACIONES'!J422</f>
        <v>633.6988</v>
      </c>
      <c r="I85" s="1" t="n">
        <f aca="false">G85*H85</f>
        <v>259.189297583618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0.40901023890785</v>
      </c>
      <c r="H86" s="28" t="n">
        <f aca="false">'APUS COMUNICACIONES'!J440</f>
        <v>520.8388</v>
      </c>
      <c r="I86" s="1" t="n">
        <f aca="false">G86*H86</f>
        <v>213.028402020478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1.02252559726962</v>
      </c>
      <c r="H88" s="28" t="n">
        <f aca="false">'APUS COMUNICACIONES'!J469</f>
        <v>367.6688</v>
      </c>
      <c r="I88" s="1" t="n">
        <f aca="false">G88*H88</f>
        <v>375.950759317406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0.40901023890785</v>
      </c>
      <c r="H90" s="28" t="n">
        <f aca="false">'APUS COMUNICACIONES'!J497</f>
        <v>96.14409</v>
      </c>
      <c r="I90" s="1" t="n">
        <f aca="false">G90*H90</f>
        <v>39.3239172204778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0.40901023890785</v>
      </c>
      <c r="H91" s="28" t="n">
        <f aca="false">'APUS COMUNICACIONES'!J513</f>
        <v>64.33069</v>
      </c>
      <c r="I91" s="1" t="n">
        <f aca="false">G91*H91</f>
        <v>26.3119108860068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'!D62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SUM(I5:I91)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70" t="n">
        <v>0.217777777777778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70" t="n">
        <v>0.476666666666667</v>
      </c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70" t="n">
        <v>0.69</v>
      </c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273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273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70" t="n">
        <v>1.33</v>
      </c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70" t="n">
        <v>0.724333333333333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70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70" t="n">
        <v>1</v>
      </c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70"/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70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70" t="n">
        <v>1</v>
      </c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70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70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70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70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70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70"/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70" t="n"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70" t="n">
        <v>0.582222222222222</v>
      </c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70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70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70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70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87" t="n">
        <v>0.0466666666666667</v>
      </c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70" t="n">
        <v>0.0933333333333333</v>
      </c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80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273" t="n">
        <v>0.13</v>
      </c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70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70" t="n">
        <v>2.33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70" t="n">
        <v>0.724333333333333</v>
      </c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70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70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70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70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70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70" t="n"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70" t="n">
        <v>0.0444444444444444</v>
      </c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70" t="n">
        <v>0.0444444444444444</v>
      </c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70" t="n">
        <v>0.0444444444444444</v>
      </c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70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70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70" t="n">
        <v>0.666666666666667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70" t="n">
        <v>0.666666666666667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70" t="n">
        <v>0.666666666666667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70" t="n">
        <v>0.444444444444444</v>
      </c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70" t="n">
        <v>0.266666666666667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70" t="n">
        <v>0.266666666666667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70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70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 t="s">
        <v>1100</v>
      </c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 t="s">
        <v>1101</v>
      </c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A72" s="1" t="s">
        <v>1103</v>
      </c>
      <c r="E72" s="1" t="n">
        <v>0.0129692832764505</v>
      </c>
      <c r="F72" s="1" t="s">
        <v>150</v>
      </c>
      <c r="G72" s="71" t="n">
        <f aca="false">E72*$M$2</f>
        <v>0</v>
      </c>
      <c r="H72" s="152" t="n">
        <f aca="false">'APUS COMUNICACIONES'!J5</f>
        <v>279.8531</v>
      </c>
      <c r="I72" s="1" t="n">
        <f aca="false">G72*H72</f>
        <v>0</v>
      </c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A73" s="1" t="s">
        <v>1105</v>
      </c>
      <c r="E73" s="1" t="n">
        <v>0.0068259385665529</v>
      </c>
      <c r="F73" s="1" t="s">
        <v>150</v>
      </c>
      <c r="G73" s="71" t="n">
        <f aca="false">E73*$M$2</f>
        <v>0</v>
      </c>
      <c r="H73" s="152" t="n">
        <f aca="false">'APUS COMUNICACIONES'!J23</f>
        <v>95.8431</v>
      </c>
      <c r="I73" s="1" t="n">
        <f aca="false">G73*H73</f>
        <v>0</v>
      </c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A74" s="1" t="s">
        <v>1107</v>
      </c>
      <c r="E74" s="1" t="n">
        <v>0.0116040955631399</v>
      </c>
      <c r="F74" s="1" t="s">
        <v>150</v>
      </c>
      <c r="G74" s="71" t="n">
        <f aca="false">E74*$M$2</f>
        <v>0</v>
      </c>
      <c r="H74" s="152" t="n">
        <f aca="false">'APUS COMUNICACIONES'!J41</f>
        <v>95.8431</v>
      </c>
      <c r="I74" s="1" t="n">
        <f aca="false">G74*H74</f>
        <v>0</v>
      </c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A75" s="1" t="s">
        <v>1109</v>
      </c>
      <c r="E75" s="1" t="n">
        <v>0.00324914675767918</v>
      </c>
      <c r="F75" s="1" t="s">
        <v>145</v>
      </c>
      <c r="G75" s="71" t="n">
        <f aca="false">E75*$M$2</f>
        <v>0</v>
      </c>
      <c r="H75" s="152" t="n">
        <f aca="false">'APUS COMUNICACIONES'!J59</f>
        <v>26.403334</v>
      </c>
      <c r="I75" s="1" t="n">
        <f aca="false">G75*H75</f>
        <v>0</v>
      </c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A76" s="1" t="s">
        <v>1111</v>
      </c>
      <c r="E76" s="1" t="n">
        <v>0.0677883959044369</v>
      </c>
      <c r="F76" s="1" t="s">
        <v>145</v>
      </c>
      <c r="G76" s="71" t="n">
        <f aca="false">E76*$M$2</f>
        <v>0</v>
      </c>
      <c r="H76" s="152" t="n">
        <f aca="false">'APUS COMUNICACIONES'!J77</f>
        <v>25.004334</v>
      </c>
      <c r="I76" s="1" t="n">
        <f aca="false">G76*H76</f>
        <v>0</v>
      </c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A77" s="1" t="s">
        <v>1113</v>
      </c>
      <c r="E77" s="1" t="n">
        <v>0.274245733788396</v>
      </c>
      <c r="F77" s="1" t="s">
        <v>145</v>
      </c>
      <c r="G77" s="71" t="n">
        <f aca="false">E77*$M$2</f>
        <v>0</v>
      </c>
      <c r="H77" s="152" t="n">
        <f aca="false">'APUS COMUNICACIONES'!J95</f>
        <v>19.232788</v>
      </c>
      <c r="I77" s="1" t="n">
        <f aca="false">G77*H77</f>
        <v>0</v>
      </c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A78" s="1" t="s">
        <v>1115</v>
      </c>
      <c r="E78" s="1" t="n">
        <v>0.00161092150170648</v>
      </c>
      <c r="F78" s="1" t="s">
        <v>145</v>
      </c>
      <c r="G78" s="71" t="n">
        <f aca="false">E78*$M$2</f>
        <v>0</v>
      </c>
      <c r="H78" s="152" t="n">
        <f aca="false">'APUS COMUNICACIONES'!J113</f>
        <v>16.371788</v>
      </c>
      <c r="I78" s="1" t="n">
        <f aca="false">G78*H78</f>
        <v>0</v>
      </c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A79" s="1" t="s">
        <v>1117</v>
      </c>
      <c r="E79" s="1" t="n">
        <v>0.0068259385665529</v>
      </c>
      <c r="F79" s="1" t="s">
        <v>150</v>
      </c>
      <c r="G79" s="71" t="n">
        <f aca="false">E79*$M$2</f>
        <v>0</v>
      </c>
      <c r="H79" s="152" t="n">
        <f aca="false">'APUS COMUNICACIONES'!J131</f>
        <v>62.670152</v>
      </c>
      <c r="I79" s="1" t="n">
        <f aca="false">G79*H79</f>
        <v>0</v>
      </c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A80" s="1" t="s">
        <v>1119</v>
      </c>
      <c r="E80" s="1" t="n">
        <v>0.0129692832764505</v>
      </c>
      <c r="F80" s="1" t="s">
        <v>150</v>
      </c>
      <c r="G80" s="71" t="n">
        <f aca="false">E80*$M$2</f>
        <v>0</v>
      </c>
      <c r="H80" s="152" t="n">
        <f aca="false">'APUS COMUNICACIONES'!J146</f>
        <v>58.850152</v>
      </c>
      <c r="I80" s="1" t="n">
        <f aca="false">G80*H80</f>
        <v>0</v>
      </c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A81" s="1" t="s">
        <v>1121</v>
      </c>
      <c r="E81" s="1" t="n">
        <v>0.00204778156996587</v>
      </c>
      <c r="F81" s="1" t="s">
        <v>150</v>
      </c>
      <c r="G81" s="71" t="n">
        <f aca="false">E81*$M$2</f>
        <v>0</v>
      </c>
      <c r="H81" s="152" t="n">
        <f aca="false">'APUS COMUNICACIONES'!J161</f>
        <v>57.880152</v>
      </c>
      <c r="I81" s="1" t="n">
        <f aca="false">G81*H81</f>
        <v>0</v>
      </c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A82" s="1" t="s">
        <v>1123</v>
      </c>
      <c r="E82" s="1" t="n">
        <v>0.0126279863481229</v>
      </c>
      <c r="F82" s="1" t="s">
        <v>145</v>
      </c>
      <c r="G82" s="71" t="n">
        <f aca="false">E82*$M$2</f>
        <v>0</v>
      </c>
      <c r="H82" s="152" t="n">
        <f aca="false">'APUS COMUNICACIONES'!J176</f>
        <v>99.34046</v>
      </c>
      <c r="I82" s="1" t="n">
        <f aca="false">G82*H82</f>
        <v>0</v>
      </c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 t="s">
        <v>1124</v>
      </c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A84" s="251" t="s">
        <v>1154</v>
      </c>
    </row>
    <row r="85" customFormat="false" ht="15" hidden="false" customHeight="false" outlineLevel="0" collapsed="false">
      <c r="A85" s="1" t="s">
        <v>1158</v>
      </c>
      <c r="E85" s="1" t="n">
        <v>0.00273037542662116</v>
      </c>
      <c r="F85" s="1" t="s">
        <v>150</v>
      </c>
      <c r="G85" s="71" t="n">
        <f aca="false">E85*$M$2</f>
        <v>0</v>
      </c>
      <c r="H85" s="28" t="n">
        <f aca="false">'APUS COMUNICACIONES'!J422</f>
        <v>633.6988</v>
      </c>
      <c r="I85" s="1" t="n">
        <f aca="false">G85*H85</f>
        <v>0</v>
      </c>
    </row>
    <row r="86" customFormat="false" ht="15" hidden="false" customHeight="false" outlineLevel="0" collapsed="false">
      <c r="A86" s="1" t="s">
        <v>1160</v>
      </c>
      <c r="E86" s="1" t="n">
        <v>0.00273037542662116</v>
      </c>
      <c r="F86" s="1" t="s">
        <v>150</v>
      </c>
      <c r="G86" s="71" t="n">
        <f aca="false">E86*$M$2</f>
        <v>0</v>
      </c>
      <c r="H86" s="28" t="n">
        <f aca="false">'APUS COMUNICACIONES'!J440</f>
        <v>520.8388</v>
      </c>
      <c r="I86" s="1" t="n">
        <f aca="false">G86*H86</f>
        <v>0</v>
      </c>
    </row>
    <row r="87" customFormat="false" ht="15" hidden="false" customHeight="false" outlineLevel="0" collapsed="false">
      <c r="A87" s="251" t="s">
        <v>1392</v>
      </c>
    </row>
    <row r="88" customFormat="false" ht="15" hidden="false" customHeight="false" outlineLevel="0" collapsed="false">
      <c r="A88" s="1" t="s">
        <v>1165</v>
      </c>
      <c r="E88" s="1" t="n">
        <v>0.0068259385665529</v>
      </c>
      <c r="F88" s="1" t="s">
        <v>150</v>
      </c>
      <c r="G88" s="71" t="n">
        <f aca="false">E88*$M$2</f>
        <v>0</v>
      </c>
      <c r="H88" s="28" t="n">
        <f aca="false">'APUS COMUNICACIONES'!J469</f>
        <v>367.6688</v>
      </c>
      <c r="I88" s="1" t="n">
        <f aca="false">G88*H88</f>
        <v>0</v>
      </c>
    </row>
    <row r="89" customFormat="false" ht="15" hidden="false" customHeight="false" outlineLevel="0" collapsed="false">
      <c r="A89" s="251" t="s">
        <v>1166</v>
      </c>
    </row>
    <row r="90" customFormat="false" ht="15" hidden="false" customHeight="false" outlineLevel="0" collapsed="false">
      <c r="A90" s="1" t="s">
        <v>1170</v>
      </c>
      <c r="E90" s="1" t="n">
        <v>0.00273037542662116</v>
      </c>
      <c r="F90" s="1" t="s">
        <v>150</v>
      </c>
      <c r="G90" s="71" t="n">
        <f aca="false">E90*$M$2</f>
        <v>0</v>
      </c>
      <c r="H90" s="28" t="n">
        <f aca="false">'APUS COMUNICACIONES'!J497</f>
        <v>96.14409</v>
      </c>
      <c r="I90" s="1" t="n">
        <f aca="false">G90*H90</f>
        <v>0</v>
      </c>
    </row>
    <row r="91" customFormat="false" ht="15" hidden="false" customHeight="false" outlineLevel="0" collapsed="false">
      <c r="A91" s="1" t="s">
        <v>1172</v>
      </c>
      <c r="E91" s="1" t="n">
        <v>0.00273037542662116</v>
      </c>
      <c r="F91" s="1" t="s">
        <v>150</v>
      </c>
      <c r="G91" s="71" t="n">
        <f aca="false">E91*$M$2</f>
        <v>0</v>
      </c>
      <c r="H91" s="28" t="n">
        <f aca="false">'APUS COMUNICACIONES'!J513</f>
        <v>64.33069</v>
      </c>
      <c r="I91" s="1" t="n">
        <f aca="false">G91*H91</f>
        <v>0</v>
      </c>
    </row>
    <row r="145" customFormat="false" ht="15" hidden="false" customHeight="true" outlineLevel="0" collapsed="false"/>
    <row r="165" customFormat="false" ht="15" hidden="false" customHeight="false" outlineLevel="0" collapsed="false">
      <c r="D165" s="14"/>
      <c r="I165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'!D63</f>
        <v>12.17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SUM(I5:I77)</f>
        <v>7749.38418169147</v>
      </c>
      <c r="L4" s="157" t="s">
        <v>1369</v>
      </c>
      <c r="M4" s="252" t="n">
        <f aca="false">J4/M2</f>
        <v>636.761231034632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70" t="n">
        <v>1.084375</v>
      </c>
      <c r="F6" s="227" t="s">
        <v>134</v>
      </c>
      <c r="G6" s="71" t="n">
        <f aca="false">E6*$M$2</f>
        <v>13.19684375</v>
      </c>
      <c r="H6" s="28" t="n">
        <f aca="false">'APUS ARQUITECTURA'!J5</f>
        <v>135.824337926792</v>
      </c>
      <c r="I6" s="1" t="n">
        <f aca="false">G6*H6</f>
        <v>1792.45256506707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70"/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70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273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273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70" t="n">
        <v>1.7875</v>
      </c>
      <c r="F13" s="1" t="s">
        <v>134</v>
      </c>
      <c r="G13" s="71" t="n">
        <f aca="false">E13*$M$2</f>
        <v>21.753875</v>
      </c>
      <c r="H13" s="28" t="n">
        <f aca="false">'APUS ARQUITECTURA'!J127</f>
        <v>27.1229651333333</v>
      </c>
      <c r="I13" s="1" t="n">
        <f aca="false">G13*H13</f>
        <v>590.029593139892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70" t="n">
        <v>1.423375</v>
      </c>
      <c r="F14" s="1" t="s">
        <v>134</v>
      </c>
      <c r="G14" s="71" t="n">
        <f aca="false">E14*$M$2</f>
        <v>17.32247375</v>
      </c>
      <c r="H14" s="28" t="n">
        <f aca="false">'APUS ARQUITECTURA'!J148</f>
        <v>35.8409626666667</v>
      </c>
      <c r="I14" s="1" t="n">
        <f aca="false">G14*H14</f>
        <v>620.854134968063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70"/>
      <c r="G15" s="71"/>
      <c r="H15" s="28"/>
      <c r="I15" s="1" t="n">
        <f aca="false">G15*H15</f>
        <v>0</v>
      </c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70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I17" s="1" t="n">
        <f aca="false">G17*H17</f>
        <v>0</v>
      </c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70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70" t="n">
        <v>1</v>
      </c>
      <c r="F19" s="1" t="s">
        <v>204</v>
      </c>
      <c r="G19" s="71" t="n">
        <f aca="false">E19*$M$2</f>
        <v>12.17</v>
      </c>
      <c r="H19" s="28" t="n">
        <f aca="false">'APUS ARQUITECTURA'!J212</f>
        <v>62.663358</v>
      </c>
      <c r="I19" s="1" t="n">
        <f aca="false">G19*H19</f>
        <v>762.61306686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I20" s="1" t="n">
        <f aca="false">G20*H20</f>
        <v>0</v>
      </c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70" t="n">
        <v>1</v>
      </c>
      <c r="F21" s="1" t="s">
        <v>134</v>
      </c>
      <c r="G21" s="71" t="n">
        <f aca="false">E21*$M$2</f>
        <v>12.17</v>
      </c>
      <c r="H21" s="28" t="n">
        <f aca="false">'APUS ARQUITECTURA'!J232</f>
        <v>40.18468579</v>
      </c>
      <c r="I21" s="1" t="n">
        <f aca="false">G21*H21</f>
        <v>489.0476260643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70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70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70" t="n">
        <v>1</v>
      </c>
      <c r="F24" s="1" t="s">
        <v>134</v>
      </c>
      <c r="G24" s="71" t="n">
        <f aca="false">E24*$M$2</f>
        <v>12.17</v>
      </c>
      <c r="H24" s="28" t="n">
        <f aca="false">'APUS ARQUITECTURA'!J292</f>
        <v>47.4322</v>
      </c>
      <c r="I24" s="1" t="n">
        <f aca="false">G24*H24</f>
        <v>577.249874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70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70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70"/>
      <c r="G27" s="71"/>
      <c r="I27" s="1" t="n">
        <f aca="false">G27*H27</f>
        <v>0</v>
      </c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70" t="n">
        <v>0.4925</v>
      </c>
      <c r="F28" s="1" t="s">
        <v>145</v>
      </c>
      <c r="G28" s="71" t="n">
        <f aca="false">E28*$M$2</f>
        <v>5.993725</v>
      </c>
      <c r="H28" s="28" t="n">
        <f aca="false">'APUS ARQUITECTURA'!J347</f>
        <v>20.56998</v>
      </c>
      <c r="I28" s="1" t="n">
        <f aca="false">G28*H28</f>
        <v>123.2908033755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70"/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70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70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70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70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70"/>
      <c r="G34" s="71"/>
      <c r="H34" s="28"/>
      <c r="I34" s="1" t="n">
        <f aca="false">G34*H34</f>
        <v>0</v>
      </c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77" t="n">
        <v>0.105</v>
      </c>
      <c r="F35" s="1" t="s">
        <v>134</v>
      </c>
      <c r="G35" s="71" t="n">
        <f aca="false">E35*$M$2</f>
        <v>1.27785</v>
      </c>
      <c r="H35" s="28" t="n">
        <f aca="false">'APUS ARQUITECTURA'!J449</f>
        <v>560.6226</v>
      </c>
      <c r="I35" s="1" t="n">
        <f aca="false">G35*H35</f>
        <v>716.39158941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70" t="n">
        <v>0.07</v>
      </c>
      <c r="F36" s="1" t="s">
        <v>134</v>
      </c>
      <c r="G36" s="71" t="n">
        <f aca="false">E36*$M$2</f>
        <v>0.8519</v>
      </c>
      <c r="H36" s="28" t="n">
        <f aca="false">'APUS ARQUITECTURA'!J456</f>
        <v>367.870834240906</v>
      </c>
      <c r="I36" s="1" t="n">
        <f aca="false">G36*H36</f>
        <v>313.389163689828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80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273"/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70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I40" s="1" t="n">
        <f aca="false">G40*H40</f>
        <v>0</v>
      </c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70" t="n">
        <v>2.7875</v>
      </c>
      <c r="F41" s="1" t="s">
        <v>134</v>
      </c>
      <c r="G41" s="71" t="n">
        <f aca="false">E41*$M$2</f>
        <v>33.923875</v>
      </c>
      <c r="H41" s="28" t="n">
        <f aca="false">'APUS ARQUITECTURA'!J484</f>
        <v>15.625164</v>
      </c>
      <c r="I41" s="1" t="n">
        <f aca="false">G41*H41</f>
        <v>530.0661103905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70" t="n">
        <v>1.423375</v>
      </c>
      <c r="F42" s="109" t="s">
        <v>134</v>
      </c>
      <c r="G42" s="71" t="n">
        <f aca="false">E42*$M$2</f>
        <v>17.32247375</v>
      </c>
      <c r="H42" s="28" t="n">
        <f aca="false">'APUS ARQUITECTURA'!J504</f>
        <v>15.9562854545455</v>
      </c>
      <c r="I42" s="1" t="n">
        <f aca="false">G42*H42</f>
        <v>276.40233593387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I43" s="1" t="n">
        <f aca="false">G43*H43</f>
        <v>0</v>
      </c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70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70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70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70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70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70" t="n">
        <v>0.096</v>
      </c>
      <c r="F52" s="1" t="s">
        <v>215</v>
      </c>
      <c r="G52" s="71" t="n">
        <f aca="false">E52*$M$2</f>
        <v>1.16832</v>
      </c>
      <c r="H52" s="28" t="n">
        <f aca="false">'APUS SANITARIAS'!J91</f>
        <v>158.148033208747</v>
      </c>
      <c r="I52" s="1" t="n">
        <f aca="false">G52*H52</f>
        <v>184.767510158443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70" t="n">
        <v>0.025</v>
      </c>
      <c r="F53" s="1" t="s">
        <v>215</v>
      </c>
      <c r="G53" s="71" t="n">
        <f aca="false">E53*$M$2</f>
        <v>0.30425</v>
      </c>
      <c r="H53" s="28" t="n">
        <f aca="false">'APUS SANITARIAS'!J108</f>
        <v>138.64528</v>
      </c>
      <c r="I53" s="1" t="n">
        <f aca="false">G53*H53</f>
        <v>42.18282644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70" t="n">
        <v>0.025</v>
      </c>
      <c r="F54" s="1" t="s">
        <v>215</v>
      </c>
      <c r="G54" s="71" t="n">
        <f aca="false">E54*$M$2</f>
        <v>0.30425</v>
      </c>
      <c r="H54" s="28" t="n">
        <f aca="false">'APUS SANITARIAS'!J127</f>
        <v>145.93578</v>
      </c>
      <c r="I54" s="1" t="n">
        <f aca="false">G54*H54</f>
        <v>44.400961065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70" t="n">
        <v>0.025</v>
      </c>
      <c r="F55" s="1" t="s">
        <v>215</v>
      </c>
      <c r="G55" s="71" t="n">
        <f aca="false">E55*$M$2</f>
        <v>0.30425</v>
      </c>
      <c r="H55" s="28" t="n">
        <f aca="false">'APUS SANITARIAS'!J145</f>
        <v>141.07118</v>
      </c>
      <c r="I55" s="1" t="n">
        <f aca="false">G55*H55</f>
        <v>42.920906515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70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70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I58" s="1" t="n">
        <f aca="false">G58*H58</f>
        <v>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70" t="n">
        <v>0.1</v>
      </c>
      <c r="F59" s="1" t="s">
        <v>215</v>
      </c>
      <c r="G59" s="71" t="n">
        <f aca="false">E59*$M$2</f>
        <v>1.217</v>
      </c>
      <c r="H59" s="28" t="n">
        <f aca="false">'APUS ELECTRICAS'!J5</f>
        <v>121.043104</v>
      </c>
      <c r="I59" s="1" t="n">
        <f aca="false">G59*H59</f>
        <v>147.309457568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70" t="n">
        <v>0.1</v>
      </c>
      <c r="F60" s="1" t="s">
        <v>215</v>
      </c>
      <c r="G60" s="71" t="n">
        <f aca="false">E60*$M$2</f>
        <v>1.217</v>
      </c>
      <c r="H60" s="28" t="n">
        <f aca="false">'APUS ELECTRICAS'!J26</f>
        <v>163.73838</v>
      </c>
      <c r="I60" s="1" t="n">
        <f aca="false">G60*H60</f>
        <v>199.26960846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70" t="n">
        <v>0.1</v>
      </c>
      <c r="F61" s="1" t="s">
        <v>215</v>
      </c>
      <c r="G61" s="71" t="n">
        <f aca="false">E61*$M$2</f>
        <v>1.217</v>
      </c>
      <c r="H61" s="28" t="n">
        <f aca="false">'APUS ELECTRICAS'!J48</f>
        <v>118.3069</v>
      </c>
      <c r="I61" s="1" t="n">
        <f aca="false">G61*H61</f>
        <v>143.9794973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70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I63" s="1" t="n">
        <f aca="false">G63*H63</f>
        <v>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70" t="n">
        <v>0.025</v>
      </c>
      <c r="F64" s="1" t="s">
        <v>150</v>
      </c>
      <c r="G64" s="71" t="n">
        <f aca="false">E64*$M$2</f>
        <v>0.30425</v>
      </c>
      <c r="H64" s="28" t="n">
        <f aca="false">'APUS ELECTRICAS'!J74</f>
        <v>396.145032</v>
      </c>
      <c r="I64" s="1" t="n">
        <f aca="false">G64*H64</f>
        <v>120.527125986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70" t="n">
        <v>0.025</v>
      </c>
      <c r="F65" s="1" t="s">
        <v>150</v>
      </c>
      <c r="G65" s="71" t="n">
        <f aca="false">E65*$M$2</f>
        <v>0.30425</v>
      </c>
      <c r="H65" s="28" t="n">
        <f aca="false">'APUS ELECTRICAS'!J88</f>
        <v>105.9636</v>
      </c>
      <c r="I65" s="1" t="n">
        <f aca="false">G65*H65</f>
        <v>32.2394253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70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70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'!D64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SUM(I5:I77)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70" t="n">
        <v>0.744642857142857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70" t="n">
        <v>0.3</v>
      </c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70" t="n">
        <v>0.0857142857142857</v>
      </c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273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273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70" t="n">
        <v>1.9125</v>
      </c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70" t="n">
        <v>0.819107142857143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70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70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/>
      <c r="I17" s="1" t="n">
        <f aca="false">G17*H17</f>
        <v>0</v>
      </c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70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70" t="n">
        <v>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/>
      <c r="I20" s="1" t="n">
        <f aca="false">G20*H20</f>
        <v>0</v>
      </c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70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70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70" t="n">
        <v>1</v>
      </c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70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70"/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70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70"/>
      <c r="G27" s="71"/>
      <c r="I27" s="1" t="n">
        <f aca="false">G27*H27</f>
        <v>0</v>
      </c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70" t="n">
        <v>0.703571428571429</v>
      </c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70"/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70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70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70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70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70"/>
      <c r="G34" s="71"/>
      <c r="H34" s="28"/>
      <c r="I34" s="1" t="n">
        <f aca="false">G34*H34</f>
        <v>0</v>
      </c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70" t="n">
        <v>0.15</v>
      </c>
      <c r="F35" s="1" t="s">
        <v>134</v>
      </c>
      <c r="G35" s="289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70"/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80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273"/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70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I40" s="1" t="n">
        <f aca="false">G40*H40</f>
        <v>0</v>
      </c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70" t="n">
        <v>2.13214285714286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70" t="n">
        <v>0.819107142857143</v>
      </c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 t="n">
        <f aca="false">E43*$M$2</f>
        <v>0</v>
      </c>
      <c r="H43" s="28"/>
      <c r="I43" s="1" t="n">
        <f aca="false">G43*H43</f>
        <v>0</v>
      </c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70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70" t="n">
        <v>0.125</v>
      </c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70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70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70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70" t="n">
        <v>0.096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70" t="n">
        <v>0.125</v>
      </c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70" t="n">
        <v>0.125</v>
      </c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70" t="n">
        <v>0.125</v>
      </c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70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70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G58" s="71" t="n">
        <f aca="false">E58*$M$2</f>
        <v>0</v>
      </c>
      <c r="I58" s="1" t="n">
        <f aca="false">G58*H58</f>
        <v>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70" t="n">
        <v>0.5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70" t="n">
        <v>0.5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70" t="n">
        <v>0.5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70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G63" s="71" t="n">
        <f aca="false">E63*$M$2</f>
        <v>0</v>
      </c>
      <c r="I63" s="1" t="n">
        <f aca="false">G63*H63</f>
        <v>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70" t="n">
        <v>0.125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70" t="n">
        <v>0.125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70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70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'!D65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SUM(I5:I77)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70" t="n">
        <v>0.5</v>
      </c>
      <c r="F6" s="227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70"/>
      <c r="F7" s="227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70"/>
      <c r="F8" s="227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273"/>
      <c r="F9" s="227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273"/>
      <c r="F10" s="227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70" t="n">
        <v>0.5</v>
      </c>
      <c r="F13" s="1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70" t="n">
        <v>0.5</v>
      </c>
      <c r="F14" s="1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70"/>
      <c r="G15" s="71" t="n">
        <f aca="false">E15*$M$2</f>
        <v>0</v>
      </c>
      <c r="H15" s="28"/>
      <c r="I15" s="1" t="n">
        <f aca="false">G15*H15</f>
        <v>0</v>
      </c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70"/>
      <c r="F16" s="1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28"/>
      <c r="G17" s="71" t="n">
        <f aca="false">E17*$M$2</f>
        <v>0</v>
      </c>
      <c r="I17" s="1" t="n">
        <f aca="false">G17*H17</f>
        <v>0</v>
      </c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70"/>
      <c r="F18" s="1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70" t="n">
        <v>1</v>
      </c>
      <c r="F19" s="1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G20" s="71" t="n">
        <f aca="false">E20*$M$2</f>
        <v>0</v>
      </c>
      <c r="I20" s="1" t="n">
        <f aca="false">G20*H20</f>
        <v>0</v>
      </c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70" t="n">
        <v>1</v>
      </c>
      <c r="F21" s="1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70"/>
      <c r="F22" s="1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70"/>
      <c r="F23" s="1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70"/>
      <c r="F24" s="1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70" t="n">
        <v>1</v>
      </c>
      <c r="F25" s="1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70"/>
      <c r="F26" s="1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70"/>
      <c r="G27" s="71"/>
      <c r="I27" s="1" t="n">
        <f aca="false">G27*H27</f>
        <v>0</v>
      </c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70" t="n">
        <v>0.416666666666667</v>
      </c>
      <c r="F28" s="1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70" t="n">
        <v>0.409677419354839</v>
      </c>
      <c r="F29" s="1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70"/>
      <c r="F30" s="1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70"/>
      <c r="F31" s="1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70"/>
      <c r="F32" s="1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70"/>
      <c r="F33" s="1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70"/>
      <c r="G34" s="71"/>
      <c r="H34" s="28"/>
      <c r="I34" s="1" t="n">
        <f aca="false">G34*H34</f>
        <v>0</v>
      </c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77"/>
      <c r="F35" s="1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70"/>
      <c r="F36" s="1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80"/>
      <c r="F37" s="1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273"/>
      <c r="F38" s="1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70"/>
      <c r="F39" s="1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G40" s="71"/>
      <c r="I40" s="1" t="n">
        <f aca="false">G40*H40</f>
        <v>0</v>
      </c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70" t="n">
        <v>1.5</v>
      </c>
      <c r="F41" s="1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70" t="n">
        <v>0.5</v>
      </c>
      <c r="F42" s="109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G43" s="71"/>
      <c r="H43" s="28"/>
      <c r="I43" s="1" t="n">
        <f aca="false">G43*H43</f>
        <v>0</v>
      </c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70"/>
      <c r="F47" s="1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70"/>
      <c r="F48" s="1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70"/>
      <c r="F49" s="1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70"/>
      <c r="F50" s="1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70"/>
      <c r="F51" s="1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70" t="n">
        <v>0.416666666666667</v>
      </c>
      <c r="F52" s="1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70"/>
      <c r="F53" s="1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70"/>
      <c r="F54" s="1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70"/>
      <c r="F55" s="1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70"/>
      <c r="F56" s="1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70"/>
      <c r="F57" s="1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I58" s="1" t="n">
        <f aca="false">G58*H58</f>
        <v>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70" t="n">
        <v>0.2</v>
      </c>
      <c r="F59" s="1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70" t="n">
        <v>0.2</v>
      </c>
      <c r="F60" s="1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70" t="n">
        <v>0.2</v>
      </c>
      <c r="F61" s="1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70"/>
      <c r="F62" s="1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I63" s="1" t="n">
        <f aca="false">G63*H63</f>
        <v>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70" t="n">
        <v>0.1</v>
      </c>
      <c r="F64" s="1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70" t="n">
        <v>0.1</v>
      </c>
      <c r="F65" s="1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70"/>
      <c r="F66" s="1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70"/>
      <c r="F67" s="1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H84" s="152"/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152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152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H87" s="152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152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H89" s="152"/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152"/>
    </row>
    <row r="91" customFormat="false" ht="15" hidden="false" customHeight="false" outlineLevel="0" collapsed="false">
      <c r="H91" s="152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'!D66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SUM(I5:I77)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70"/>
      <c r="F6" s="105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70"/>
      <c r="F7" s="105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70"/>
      <c r="F8" s="105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273"/>
      <c r="F9" s="105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273"/>
      <c r="F10" s="105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F11" s="6"/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F12" s="6"/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70"/>
      <c r="F13" s="6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70"/>
      <c r="F14" s="6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70"/>
      <c r="F15" s="6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70"/>
      <c r="F16" s="6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10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70"/>
      <c r="F18" s="6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70"/>
      <c r="F19" s="6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F20" s="6"/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70"/>
      <c r="F21" s="6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70"/>
      <c r="F22" s="6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70"/>
      <c r="F23" s="6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70" t="n">
        <v>1</v>
      </c>
      <c r="F24" s="6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70"/>
      <c r="F25" s="6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70"/>
      <c r="F26" s="6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70"/>
      <c r="F27" s="6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70" t="n">
        <v>0.405</v>
      </c>
      <c r="F28" s="6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70"/>
      <c r="F29" s="6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70"/>
      <c r="F30" s="6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70"/>
      <c r="F31" s="6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70"/>
      <c r="F32" s="6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70"/>
      <c r="F33" s="6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70"/>
      <c r="F34" s="6"/>
      <c r="G34" s="71" t="n">
        <f aca="false">E34*$M$2</f>
        <v>0</v>
      </c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77"/>
      <c r="F35" s="6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70"/>
      <c r="F36" s="6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80"/>
      <c r="F37" s="6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273"/>
      <c r="F38" s="6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70"/>
      <c r="F39" s="6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F40" s="6"/>
      <c r="G40" s="71" t="n">
        <f aca="false">E40*$M$2</f>
        <v>0</v>
      </c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70" t="n">
        <v>0</v>
      </c>
      <c r="F41" s="6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70"/>
      <c r="F42" s="110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F43" s="6"/>
      <c r="G43" s="71" t="n">
        <f aca="false">E43*$M$2</f>
        <v>0</v>
      </c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70"/>
      <c r="F47" s="6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70"/>
      <c r="F48" s="6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70"/>
      <c r="F49" s="6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70"/>
      <c r="F50" s="6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70"/>
      <c r="F51" s="6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70" t="n">
        <v>0.096</v>
      </c>
      <c r="F52" s="6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70"/>
      <c r="F53" s="6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70"/>
      <c r="F54" s="6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70"/>
      <c r="F55" s="6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70"/>
      <c r="F56" s="6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70"/>
      <c r="F57" s="6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F58" s="6"/>
      <c r="G58" s="71" t="n">
        <f aca="false">E58*$M$2</f>
        <v>0</v>
      </c>
      <c r="I58" s="1" t="n">
        <f aca="false">G58*H58</f>
        <v>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70" t="n">
        <v>0.0480192076830732</v>
      </c>
      <c r="F59" s="6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70" t="n">
        <v>0.0480192076830732</v>
      </c>
      <c r="F60" s="6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70" t="n">
        <v>0.0480192076830732</v>
      </c>
      <c r="F61" s="6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70"/>
      <c r="F62" s="6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F63" s="6"/>
      <c r="G63" s="71" t="n">
        <f aca="false">E63*$M$2</f>
        <v>0</v>
      </c>
      <c r="I63" s="1" t="n">
        <f aca="false">G63*H63</f>
        <v>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70" t="n">
        <v>0.0480192076830732</v>
      </c>
      <c r="F64" s="6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70" t="n">
        <v>0</v>
      </c>
      <c r="F65" s="6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70"/>
      <c r="F66" s="6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70"/>
      <c r="F67" s="6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F68" s="6"/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F69" s="6"/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F70" s="6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F71" s="6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28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28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28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28"/>
    </row>
    <row r="91" customFormat="false" ht="15" hidden="false" customHeight="false" outlineLevel="0" collapsed="false">
      <c r="H91" s="28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'!D67</f>
        <v>159.35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SUM(I5:I77)</f>
        <v>17420.7488810005</v>
      </c>
      <c r="L4" s="157" t="s">
        <v>1369</v>
      </c>
      <c r="M4" s="252" t="n">
        <f aca="false">J4/M2</f>
        <v>109.323808478196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70"/>
      <c r="F6" s="105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70"/>
      <c r="F7" s="105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70"/>
      <c r="F8" s="105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273"/>
      <c r="F9" s="105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273"/>
      <c r="F10" s="105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F11" s="6"/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F12" s="6"/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70"/>
      <c r="F13" s="6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70"/>
      <c r="F14" s="6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70"/>
      <c r="F15" s="6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70"/>
      <c r="F16" s="6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10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70"/>
      <c r="F18" s="6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70"/>
      <c r="F19" s="6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F20" s="6"/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70"/>
      <c r="F21" s="6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70"/>
      <c r="F22" s="6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70"/>
      <c r="F23" s="6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70" t="n">
        <v>1</v>
      </c>
      <c r="F24" s="6" t="s">
        <v>134</v>
      </c>
      <c r="G24" s="71" t="n">
        <f aca="false">E24*$M$2</f>
        <v>159.35</v>
      </c>
      <c r="H24" s="28" t="n">
        <f aca="false">'APUS ARQUITECTURA'!J292</f>
        <v>47.4322</v>
      </c>
      <c r="I24" s="1" t="n">
        <f aca="false">G24*H24</f>
        <v>7558.32107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70"/>
      <c r="F25" s="6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70"/>
      <c r="F26" s="6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70"/>
      <c r="F27" s="6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70" t="n">
        <v>0.405</v>
      </c>
      <c r="F28" s="6" t="s">
        <v>145</v>
      </c>
      <c r="G28" s="71" t="n">
        <f aca="false">E28*$M$2</f>
        <v>64.53675</v>
      </c>
      <c r="H28" s="28" t="n">
        <f aca="false">'APUS ARQUITECTURA'!J347</f>
        <v>20.56998</v>
      </c>
      <c r="I28" s="1" t="n">
        <f aca="false">G28*H28</f>
        <v>1327.519656765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70"/>
      <c r="F29" s="6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70"/>
      <c r="F30" s="6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70"/>
      <c r="F31" s="6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70"/>
      <c r="F32" s="6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70"/>
      <c r="F33" s="6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70"/>
      <c r="F34" s="6"/>
      <c r="G34" s="71" t="n">
        <f aca="false">E34*$M$2</f>
        <v>0</v>
      </c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77"/>
      <c r="F35" s="6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70"/>
      <c r="F36" s="6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80"/>
      <c r="F37" s="6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273"/>
      <c r="F38" s="6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70"/>
      <c r="F39" s="6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F40" s="6"/>
      <c r="G40" s="71" t="n">
        <f aca="false">E40*$M$2</f>
        <v>0</v>
      </c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70" t="n">
        <v>0</v>
      </c>
      <c r="F41" s="6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70"/>
      <c r="F42" s="110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F43" s="6"/>
      <c r="G43" s="71" t="n">
        <f aca="false">E43*$M$2</f>
        <v>0</v>
      </c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70"/>
      <c r="F47" s="6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70"/>
      <c r="F48" s="6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70"/>
      <c r="F49" s="6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70"/>
      <c r="F50" s="6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70"/>
      <c r="F51" s="6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70" t="n">
        <v>0.096</v>
      </c>
      <c r="F52" s="6" t="s">
        <v>215</v>
      </c>
      <c r="G52" s="71" t="n">
        <f aca="false">E52*$M$2</f>
        <v>15.2976</v>
      </c>
      <c r="H52" s="28" t="n">
        <f aca="false">'APUS SANITARIAS'!J91</f>
        <v>158.148033208747</v>
      </c>
      <c r="I52" s="1" t="n">
        <f aca="false">G52*H52</f>
        <v>2419.28535281412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70"/>
      <c r="F53" s="6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70"/>
      <c r="F54" s="6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70"/>
      <c r="F55" s="6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70"/>
      <c r="F56" s="6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70"/>
      <c r="F57" s="6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F58" s="6"/>
      <c r="G58" s="71" t="n">
        <f aca="false">E58*$M$2</f>
        <v>0</v>
      </c>
      <c r="I58" s="1" t="n">
        <f aca="false">G58*H58</f>
        <v>0</v>
      </c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70" t="n">
        <v>0.0480192076830732</v>
      </c>
      <c r="F59" s="6" t="s">
        <v>215</v>
      </c>
      <c r="G59" s="71" t="n">
        <f aca="false">E59*$M$2</f>
        <v>7.65186074429772</v>
      </c>
      <c r="H59" s="28" t="n">
        <f aca="false">'APUS ELECTRICAS'!J5</f>
        <v>121.043104</v>
      </c>
      <c r="I59" s="1" t="n">
        <f aca="false">G59*H59</f>
        <v>926.204975865546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70" t="n">
        <v>0.0480192076830732</v>
      </c>
      <c r="F60" s="6" t="s">
        <v>215</v>
      </c>
      <c r="G60" s="71" t="n">
        <f aca="false">E60*$M$2</f>
        <v>7.65186074429772</v>
      </c>
      <c r="H60" s="28" t="n">
        <f aca="false">'APUS ELECTRICAS'!J26</f>
        <v>163.73838</v>
      </c>
      <c r="I60" s="1" t="n">
        <f aca="false">G60*H60</f>
        <v>1252.9032822569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70" t="n">
        <v>0.0480192076830732</v>
      </c>
      <c r="F61" s="6" t="s">
        <v>215</v>
      </c>
      <c r="G61" s="71" t="n">
        <f aca="false">E61*$M$2</f>
        <v>7.65186074429772</v>
      </c>
      <c r="H61" s="28" t="n">
        <f aca="false">'APUS ELECTRICAS'!J48</f>
        <v>118.3069</v>
      </c>
      <c r="I61" s="1" t="n">
        <f aca="false">G61*H61</f>
        <v>905.267923889556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70"/>
      <c r="F62" s="6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F63" s="6"/>
      <c r="G63" s="71" t="n">
        <f aca="false">E63*$M$2</f>
        <v>0</v>
      </c>
      <c r="I63" s="1" t="n">
        <f aca="false">G63*H63</f>
        <v>0</v>
      </c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70" t="n">
        <v>0.0480192076830732</v>
      </c>
      <c r="F64" s="6" t="s">
        <v>150</v>
      </c>
      <c r="G64" s="71" t="n">
        <f aca="false">E64*$M$2</f>
        <v>7.65186074429772</v>
      </c>
      <c r="H64" s="28" t="n">
        <f aca="false">'APUS ELECTRICAS'!J74</f>
        <v>396.145032</v>
      </c>
      <c r="I64" s="1" t="n">
        <f aca="false">G64*H64</f>
        <v>3031.24661940936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70" t="n">
        <v>0</v>
      </c>
      <c r="F65" s="6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70"/>
      <c r="F66" s="6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70"/>
      <c r="F67" s="6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F68" s="6"/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F69" s="6"/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F70" s="6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F71" s="6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28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28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28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28"/>
    </row>
    <row r="91" customFormat="false" ht="15" hidden="false" customHeight="false" outlineLevel="0" collapsed="false">
      <c r="H91" s="28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2:BP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8.59765625" defaultRowHeight="15" zeroHeight="false" outlineLevelRow="0" outlineLevelCol="0"/>
  <cols>
    <col collapsed="false" customWidth="true" hidden="false" outlineLevel="0" max="4" min="4" style="1" width="19.57"/>
    <col collapsed="false" customWidth="true" hidden="false" outlineLevel="0" max="13" min="5" style="1" width="9.14"/>
    <col collapsed="false" customWidth="true" hidden="false" outlineLevel="0" max="14" min="14" style="1" width="37.86"/>
  </cols>
  <sheetData>
    <row r="2" customFormat="false" ht="15" hidden="false" customHeight="false" outlineLevel="0" collapsed="false">
      <c r="L2" s="157" t="s">
        <v>88</v>
      </c>
      <c r="M2" s="157" t="n">
        <f aca="false">'Datos iniciales '!D68</f>
        <v>0</v>
      </c>
    </row>
    <row r="3" customFormat="false" ht="15" hidden="false" customHeight="false" outlineLevel="0" collapsed="false">
      <c r="E3" s="36" t="s">
        <v>1221</v>
      </c>
      <c r="F3" s="36" t="s">
        <v>123</v>
      </c>
      <c r="G3" s="36" t="s">
        <v>124</v>
      </c>
      <c r="H3" s="36" t="s">
        <v>125</v>
      </c>
      <c r="I3" s="36" t="s">
        <v>454</v>
      </c>
      <c r="J3" s="36" t="s">
        <v>455</v>
      </c>
      <c r="L3" s="157"/>
      <c r="M3" s="252"/>
    </row>
    <row r="4" customFormat="false" ht="15" hidden="false" customHeight="false" outlineLevel="0" collapsed="false">
      <c r="A4" s="15"/>
      <c r="E4" s="57"/>
      <c r="F4" s="158"/>
      <c r="G4" s="71"/>
      <c r="H4" s="158"/>
      <c r="J4" s="1" t="n">
        <f aca="false">SUM(I5:I77)</f>
        <v>0</v>
      </c>
      <c r="L4" s="157" t="s">
        <v>1369</v>
      </c>
      <c r="M4" s="252" t="e">
        <f aca="false">J4/M2</f>
        <v>#DIV/0!</v>
      </c>
    </row>
    <row r="5" customFormat="false" ht="15" hidden="false" customHeight="false" outlineLevel="0" collapsed="false">
      <c r="A5" s="15" t="s">
        <v>755</v>
      </c>
      <c r="E5" s="57"/>
      <c r="G5" s="71"/>
    </row>
    <row r="6" customFormat="false" ht="16.4" hidden="false" customHeight="false" outlineLevel="0" collapsed="false">
      <c r="A6" s="1" t="s">
        <v>757</v>
      </c>
      <c r="E6" s="270"/>
      <c r="F6" s="105" t="s">
        <v>134</v>
      </c>
      <c r="G6" s="71" t="n">
        <f aca="false">E6*$M$2</f>
        <v>0</v>
      </c>
      <c r="H6" s="28" t="n">
        <f aca="false">'APUS ARQUITECTURA'!J5</f>
        <v>135.824337926792</v>
      </c>
      <c r="I6" s="1" t="n">
        <f aca="false">G6*H6</f>
        <v>0</v>
      </c>
      <c r="O6" s="270"/>
      <c r="P6" s="270"/>
      <c r="Q6" s="270"/>
      <c r="R6" s="270"/>
      <c r="S6" s="270"/>
      <c r="T6" s="270"/>
      <c r="U6" s="271"/>
      <c r="V6" s="270"/>
      <c r="W6" s="270"/>
      <c r="X6" s="270"/>
      <c r="Y6" s="270"/>
      <c r="Z6" s="270"/>
      <c r="AA6" s="270"/>
      <c r="AB6" s="270"/>
      <c r="AC6" s="270"/>
      <c r="AD6" s="270"/>
      <c r="AE6" s="270"/>
      <c r="AF6" s="270"/>
      <c r="AG6" s="270"/>
      <c r="AH6" s="271"/>
      <c r="AI6" s="271"/>
      <c r="AJ6" s="271"/>
      <c r="AK6" s="271"/>
      <c r="AL6" s="272"/>
      <c r="AM6" s="271"/>
      <c r="AN6" s="271"/>
      <c r="AO6" s="270"/>
      <c r="AP6" s="270"/>
      <c r="AR6" s="270"/>
      <c r="AS6" s="270"/>
      <c r="AT6" s="270"/>
      <c r="AU6" s="270"/>
      <c r="AV6" s="270"/>
      <c r="AW6" s="270"/>
      <c r="AX6" s="270"/>
      <c r="AY6" s="270"/>
    </row>
    <row r="7" customFormat="false" ht="16.4" hidden="false" customHeight="false" outlineLevel="0" collapsed="false">
      <c r="A7" s="1" t="s">
        <v>759</v>
      </c>
      <c r="E7" s="270"/>
      <c r="F7" s="105" t="s">
        <v>134</v>
      </c>
      <c r="G7" s="71" t="n">
        <f aca="false">E7*$M$2</f>
        <v>0</v>
      </c>
      <c r="H7" s="28" t="n">
        <f aca="false">'APUS ARQUITECTURA'!J32</f>
        <v>150.0657</v>
      </c>
      <c r="I7" s="1" t="n">
        <f aca="false">G7*H7</f>
        <v>0</v>
      </c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  <c r="AA7" s="270"/>
      <c r="AB7" s="270"/>
      <c r="AC7" s="270"/>
      <c r="AD7" s="270"/>
      <c r="AE7" s="270"/>
      <c r="AF7" s="270"/>
      <c r="AG7" s="270"/>
      <c r="AH7" s="271"/>
      <c r="AI7" s="271"/>
      <c r="AJ7" s="271"/>
      <c r="AK7" s="271"/>
      <c r="AL7" s="272"/>
      <c r="AM7" s="271"/>
      <c r="AN7" s="271"/>
      <c r="AO7" s="270"/>
      <c r="AP7" s="270"/>
      <c r="AR7" s="270"/>
      <c r="AS7" s="270"/>
      <c r="AT7" s="270"/>
      <c r="AU7" s="270"/>
      <c r="AV7" s="270"/>
      <c r="AW7" s="270"/>
      <c r="AX7" s="270"/>
      <c r="AY7" s="270"/>
    </row>
    <row r="8" customFormat="false" ht="16.4" hidden="false" customHeight="false" outlineLevel="0" collapsed="false">
      <c r="A8" s="1" t="s">
        <v>761</v>
      </c>
      <c r="E8" s="270"/>
      <c r="F8" s="105" t="s">
        <v>134</v>
      </c>
      <c r="G8" s="71" t="n">
        <f aca="false">E8*$M$2</f>
        <v>0</v>
      </c>
      <c r="H8" s="28" t="n">
        <f aca="false">'APUS ARQUITECTURA'!J50</f>
        <v>141.066794285714</v>
      </c>
      <c r="I8" s="1" t="n">
        <f aca="false">G8*H8</f>
        <v>0</v>
      </c>
      <c r="O8" s="270"/>
      <c r="P8" s="270"/>
      <c r="Q8" s="270"/>
      <c r="R8" s="270"/>
      <c r="S8" s="270"/>
      <c r="T8" s="270"/>
      <c r="U8" s="271"/>
      <c r="V8" s="270"/>
      <c r="W8" s="270"/>
      <c r="X8" s="270"/>
      <c r="Y8" s="270"/>
      <c r="Z8" s="270"/>
      <c r="AA8" s="270"/>
      <c r="AB8" s="270"/>
      <c r="AC8" s="270"/>
      <c r="AD8" s="271"/>
      <c r="AE8" s="271"/>
      <c r="AF8" s="270"/>
      <c r="AG8" s="270"/>
      <c r="AH8" s="271"/>
      <c r="AI8" s="271"/>
      <c r="AJ8" s="271"/>
      <c r="AK8" s="271"/>
      <c r="AL8" s="272"/>
      <c r="AM8" s="271"/>
      <c r="AN8" s="271"/>
      <c r="AO8" s="270"/>
      <c r="AP8" s="270"/>
      <c r="AR8" s="270"/>
      <c r="AS8" s="270"/>
      <c r="AT8" s="270"/>
      <c r="AU8" s="270"/>
      <c r="AV8" s="270"/>
      <c r="AW8" s="270"/>
      <c r="AX8" s="270"/>
      <c r="AY8" s="270"/>
    </row>
    <row r="9" customFormat="false" ht="15" hidden="false" customHeight="true" outlineLevel="0" collapsed="false">
      <c r="A9" s="1" t="s">
        <v>763</v>
      </c>
      <c r="E9" s="273"/>
      <c r="F9" s="105" t="s">
        <v>134</v>
      </c>
      <c r="G9" s="71" t="n">
        <f aca="false">E9*$M$2</f>
        <v>0</v>
      </c>
      <c r="H9" s="28" t="n">
        <f aca="false">'APUS ARQUITECTURA'!J74</f>
        <v>200.942138</v>
      </c>
      <c r="I9" s="1" t="n">
        <f aca="false">G9*H9</f>
        <v>0</v>
      </c>
      <c r="O9" s="273"/>
      <c r="P9" s="273"/>
      <c r="Q9" s="273"/>
      <c r="R9" s="273"/>
      <c r="S9" s="273"/>
      <c r="T9" s="273"/>
      <c r="U9" s="274"/>
      <c r="V9" s="273"/>
      <c r="W9" s="273"/>
      <c r="X9" s="273"/>
      <c r="Y9" s="273"/>
      <c r="Z9" s="273"/>
      <c r="AA9" s="273"/>
      <c r="AB9" s="273"/>
      <c r="AC9" s="273"/>
      <c r="AD9" s="274"/>
      <c r="AE9" s="274"/>
      <c r="AF9" s="273"/>
      <c r="AG9" s="273"/>
      <c r="AH9" s="274"/>
      <c r="AI9" s="274"/>
      <c r="AJ9" s="274"/>
      <c r="AK9" s="274"/>
      <c r="AL9" s="275"/>
      <c r="AM9" s="274"/>
      <c r="AN9" s="274"/>
      <c r="AO9" s="273"/>
      <c r="AP9" s="273"/>
      <c r="AR9" s="273"/>
      <c r="AS9" s="273"/>
      <c r="AT9" s="273"/>
      <c r="AU9" s="273"/>
      <c r="AV9" s="273"/>
      <c r="AW9" s="273"/>
      <c r="AX9" s="273"/>
      <c r="AY9" s="273"/>
    </row>
    <row r="10" customFormat="false" ht="16.4" hidden="false" customHeight="false" outlineLevel="0" collapsed="false">
      <c r="A10" s="1" t="s">
        <v>765</v>
      </c>
      <c r="E10" s="273"/>
      <c r="F10" s="105" t="s">
        <v>134</v>
      </c>
      <c r="G10" s="71" t="n">
        <f aca="false">E10*$M$2</f>
        <v>0</v>
      </c>
      <c r="H10" s="28" t="n">
        <f aca="false">'APUS ARQUITECTURA'!J92</f>
        <v>300.227954</v>
      </c>
      <c r="I10" s="1" t="n">
        <f aca="false">G10*H10</f>
        <v>0</v>
      </c>
      <c r="O10" s="273"/>
      <c r="P10" s="273"/>
      <c r="Q10" s="273"/>
      <c r="R10" s="273"/>
      <c r="S10" s="274"/>
      <c r="T10" s="274"/>
      <c r="U10" s="274"/>
      <c r="V10" s="274"/>
      <c r="W10" s="274"/>
      <c r="X10" s="274"/>
      <c r="Y10" s="274"/>
      <c r="Z10" s="274"/>
      <c r="AA10" s="274"/>
      <c r="AB10" s="274"/>
      <c r="AC10" s="274"/>
      <c r="AD10" s="274"/>
      <c r="AE10" s="274"/>
      <c r="AF10" s="274"/>
      <c r="AG10" s="274"/>
      <c r="AH10" s="274"/>
      <c r="AI10" s="274"/>
      <c r="AJ10" s="274"/>
      <c r="AK10" s="274"/>
      <c r="AL10" s="275"/>
      <c r="AM10" s="274"/>
      <c r="AN10" s="274"/>
      <c r="AO10" s="274"/>
      <c r="AP10" s="274"/>
      <c r="AQ10" s="69"/>
      <c r="AR10" s="274"/>
      <c r="AS10" s="274"/>
      <c r="AT10" s="274"/>
      <c r="AU10" s="274"/>
      <c r="AV10" s="274"/>
      <c r="AW10" s="274"/>
      <c r="AX10" s="274"/>
      <c r="AY10" s="274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</row>
    <row r="11" customFormat="false" ht="15" hidden="false" customHeight="false" outlineLevel="0" collapsed="false">
      <c r="A11" s="107" t="s">
        <v>766</v>
      </c>
      <c r="F11" s="6"/>
      <c r="G11" s="71"/>
      <c r="H11" s="28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69"/>
      <c r="AS11" s="69"/>
      <c r="AT11" s="69"/>
      <c r="AU11" s="69"/>
      <c r="AV11" s="69"/>
      <c r="AW11" s="69"/>
      <c r="AX11" s="69"/>
      <c r="AY11" s="69"/>
      <c r="AZ11" s="69"/>
      <c r="BA11" s="69"/>
      <c r="BB11" s="69"/>
      <c r="BC11" s="69"/>
      <c r="BD11" s="69"/>
      <c r="BE11" s="69"/>
      <c r="BF11" s="69"/>
      <c r="BG11" s="69"/>
      <c r="BH11" s="69"/>
      <c r="BI11" s="69"/>
      <c r="BJ11" s="69"/>
      <c r="BK11" s="69"/>
      <c r="BL11" s="69"/>
      <c r="BM11" s="69"/>
      <c r="BN11" s="69"/>
      <c r="BO11" s="69"/>
      <c r="BP11" s="69"/>
    </row>
    <row r="12" customFormat="false" ht="15" hidden="false" customHeight="false" outlineLevel="0" collapsed="false">
      <c r="A12" s="15" t="s">
        <v>768</v>
      </c>
      <c r="F12" s="6"/>
      <c r="G12" s="71"/>
      <c r="H12" s="28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69"/>
      <c r="AS12" s="69"/>
      <c r="AT12" s="69"/>
      <c r="AU12" s="69"/>
      <c r="AV12" s="69"/>
      <c r="AW12" s="69"/>
      <c r="AX12" s="69"/>
      <c r="AY12" s="69"/>
      <c r="AZ12" s="69"/>
      <c r="BA12" s="69"/>
      <c r="BB12" s="69"/>
      <c r="BC12" s="69"/>
      <c r="BD12" s="69"/>
      <c r="BE12" s="69"/>
      <c r="BF12" s="69"/>
      <c r="BG12" s="69"/>
      <c r="BH12" s="69"/>
      <c r="BI12" s="69"/>
      <c r="BJ12" s="69"/>
      <c r="BK12" s="69"/>
      <c r="BL12" s="69"/>
      <c r="BM12" s="69"/>
      <c r="BN12" s="69"/>
      <c r="BO12" s="69"/>
      <c r="BP12" s="69"/>
    </row>
    <row r="13" customFormat="false" ht="15" hidden="false" customHeight="false" outlineLevel="0" collapsed="false">
      <c r="A13" s="1" t="s">
        <v>770</v>
      </c>
      <c r="E13" s="270"/>
      <c r="F13" s="6" t="s">
        <v>134</v>
      </c>
      <c r="G13" s="71" t="n">
        <f aca="false">E13*$M$2</f>
        <v>0</v>
      </c>
      <c r="H13" s="28" t="n">
        <f aca="false">'APUS ARQUITECTURA'!J127</f>
        <v>27.1229651333333</v>
      </c>
      <c r="I13" s="1" t="n">
        <f aca="false">G13*H13</f>
        <v>0</v>
      </c>
      <c r="O13" s="270"/>
      <c r="P13" s="270"/>
      <c r="Q13" s="270"/>
      <c r="R13" s="270"/>
      <c r="S13" s="271"/>
      <c r="T13" s="271"/>
      <c r="U13" s="271"/>
      <c r="V13" s="271"/>
      <c r="W13" s="272"/>
      <c r="X13" s="271"/>
      <c r="Y13" s="271"/>
      <c r="Z13" s="271"/>
      <c r="AA13" s="271"/>
      <c r="AB13" s="271"/>
      <c r="AC13" s="271"/>
      <c r="AD13" s="271"/>
      <c r="AE13" s="271"/>
      <c r="AF13" s="271"/>
      <c r="AG13" s="271"/>
      <c r="AH13" s="271"/>
      <c r="AI13" s="276"/>
      <c r="AJ13" s="276"/>
      <c r="AK13" s="271"/>
      <c r="AL13" s="272"/>
      <c r="AM13" s="271"/>
      <c r="AN13" s="271"/>
      <c r="AO13" s="271"/>
      <c r="AP13" s="271"/>
      <c r="AQ13" s="69"/>
      <c r="AR13" s="271"/>
      <c r="AS13" s="271"/>
      <c r="AT13" s="271"/>
      <c r="AU13" s="271"/>
      <c r="AV13" s="276"/>
      <c r="AW13" s="271"/>
      <c r="AX13" s="271"/>
      <c r="AY13" s="271"/>
      <c r="AZ13" s="69"/>
      <c r="BA13" s="69"/>
      <c r="BB13" s="69"/>
      <c r="BC13" s="69"/>
      <c r="BD13" s="69"/>
      <c r="BE13" s="69"/>
      <c r="BF13" s="69"/>
      <c r="BG13" s="69"/>
      <c r="BH13" s="69"/>
      <c r="BI13" s="69"/>
      <c r="BJ13" s="69"/>
      <c r="BK13" s="69"/>
      <c r="BL13" s="69"/>
      <c r="BM13" s="69"/>
      <c r="BN13" s="69"/>
      <c r="BO13" s="69"/>
      <c r="BP13" s="69"/>
    </row>
    <row r="14" customFormat="false" ht="15" hidden="false" customHeight="false" outlineLevel="0" collapsed="false">
      <c r="A14" s="1" t="s">
        <v>772</v>
      </c>
      <c r="E14" s="270"/>
      <c r="F14" s="6" t="s">
        <v>134</v>
      </c>
      <c r="G14" s="71" t="n">
        <f aca="false">E14*$M$2</f>
        <v>0</v>
      </c>
      <c r="H14" s="28" t="n">
        <f aca="false">'APUS ARQUITECTURA'!J148</f>
        <v>35.8409626666667</v>
      </c>
      <c r="I14" s="1" t="n">
        <f aca="false">G14*H14</f>
        <v>0</v>
      </c>
      <c r="O14" s="270"/>
      <c r="P14" s="270"/>
      <c r="Q14" s="270"/>
      <c r="R14" s="270"/>
      <c r="S14" s="271"/>
      <c r="T14" s="271"/>
      <c r="U14" s="271"/>
      <c r="V14" s="271"/>
      <c r="W14" s="271"/>
      <c r="X14" s="271"/>
      <c r="Y14" s="271"/>
      <c r="Z14" s="271"/>
      <c r="AA14" s="271"/>
      <c r="AB14" s="271"/>
      <c r="AC14" s="271"/>
      <c r="AD14" s="271"/>
      <c r="AE14" s="271"/>
      <c r="AF14" s="271"/>
      <c r="AG14" s="271"/>
      <c r="AH14" s="271"/>
      <c r="AI14" s="271"/>
      <c r="AJ14" s="271"/>
      <c r="AK14" s="271"/>
      <c r="AL14" s="272"/>
      <c r="AM14" s="271"/>
      <c r="AN14" s="271"/>
      <c r="AO14" s="271"/>
      <c r="AP14" s="271"/>
      <c r="AQ14" s="69"/>
      <c r="AR14" s="271"/>
      <c r="AS14" s="271"/>
      <c r="AT14" s="271"/>
      <c r="AU14" s="271"/>
      <c r="AV14" s="271"/>
      <c r="AW14" s="271"/>
      <c r="AX14" s="271"/>
      <c r="AY14" s="271"/>
      <c r="AZ14" s="69"/>
      <c r="BA14" s="69"/>
      <c r="BB14" s="69"/>
      <c r="BC14" s="69"/>
      <c r="BD14" s="69"/>
      <c r="BE14" s="69"/>
      <c r="BF14" s="69"/>
      <c r="BG14" s="69"/>
      <c r="BH14" s="69"/>
      <c r="BI14" s="69"/>
      <c r="BJ14" s="69"/>
      <c r="BK14" s="69"/>
      <c r="BL14" s="69"/>
      <c r="BM14" s="69"/>
      <c r="BN14" s="69"/>
      <c r="BO14" s="69"/>
      <c r="BP14" s="69"/>
    </row>
    <row r="15" customFormat="false" ht="15" hidden="false" customHeight="false" outlineLevel="0" collapsed="false">
      <c r="A15" s="26" t="s">
        <v>774</v>
      </c>
      <c r="E15" s="270"/>
      <c r="F15" s="6"/>
      <c r="G15" s="71"/>
      <c r="H15" s="28"/>
      <c r="O15" s="270"/>
      <c r="P15" s="270"/>
      <c r="Q15" s="270"/>
      <c r="R15" s="270"/>
      <c r="S15" s="271"/>
      <c r="T15" s="271"/>
      <c r="U15" s="271"/>
      <c r="V15" s="271"/>
      <c r="W15" s="271"/>
      <c r="X15" s="271"/>
      <c r="Y15" s="271"/>
      <c r="Z15" s="271"/>
      <c r="AA15" s="271"/>
      <c r="AB15" s="271"/>
      <c r="AC15" s="271"/>
      <c r="AD15" s="271"/>
      <c r="AE15" s="271"/>
      <c r="AF15" s="271"/>
      <c r="AG15" s="271"/>
      <c r="AH15" s="271"/>
      <c r="AI15" s="271"/>
      <c r="AJ15" s="271"/>
      <c r="AK15" s="271"/>
      <c r="AL15" s="272"/>
      <c r="AM15" s="271"/>
      <c r="AN15" s="271"/>
      <c r="AO15" s="271"/>
      <c r="AP15" s="271"/>
      <c r="AQ15" s="69"/>
      <c r="AR15" s="271"/>
      <c r="AS15" s="271"/>
      <c r="AT15" s="271"/>
      <c r="AU15" s="271"/>
      <c r="AV15" s="271"/>
      <c r="AW15" s="271"/>
      <c r="AX15" s="271"/>
      <c r="AY15" s="271"/>
      <c r="AZ15" s="69"/>
      <c r="BA15" s="69"/>
      <c r="BB15" s="69"/>
      <c r="BC15" s="69"/>
      <c r="BD15" s="69"/>
      <c r="BE15" s="69"/>
      <c r="BF15" s="69"/>
      <c r="BG15" s="69"/>
      <c r="BH15" s="69"/>
      <c r="BI15" s="69"/>
      <c r="BJ15" s="69"/>
      <c r="BK15" s="69"/>
      <c r="BL15" s="69"/>
      <c r="BM15" s="69"/>
      <c r="BN15" s="69"/>
      <c r="BO15" s="69"/>
      <c r="BP15" s="69"/>
    </row>
    <row r="16" customFormat="false" ht="15" hidden="false" customHeight="false" outlineLevel="0" collapsed="false">
      <c r="A16" s="1" t="s">
        <v>776</v>
      </c>
      <c r="E16" s="270"/>
      <c r="F16" s="6" t="s">
        <v>134</v>
      </c>
      <c r="G16" s="71" t="n">
        <f aca="false">E16*$M$2</f>
        <v>0</v>
      </c>
      <c r="H16" s="28" t="n">
        <f aca="false">'APUS ARQUITECTURA'!J168</f>
        <v>90.82588</v>
      </c>
      <c r="I16" s="1" t="n">
        <f aca="false">G16*H16</f>
        <v>0</v>
      </c>
      <c r="O16" s="270"/>
      <c r="P16" s="270"/>
      <c r="Q16" s="270"/>
      <c r="R16" s="270"/>
      <c r="S16" s="271"/>
      <c r="T16" s="271"/>
      <c r="U16" s="271"/>
      <c r="V16" s="271"/>
      <c r="W16" s="272"/>
      <c r="X16" s="271"/>
      <c r="Y16" s="271"/>
      <c r="Z16" s="271"/>
      <c r="AA16" s="271"/>
      <c r="AB16" s="271"/>
      <c r="AC16" s="271"/>
      <c r="AD16" s="271"/>
      <c r="AE16" s="271"/>
      <c r="AF16" s="271"/>
      <c r="AG16" s="271"/>
      <c r="AH16" s="271"/>
      <c r="AI16" s="271"/>
      <c r="AJ16" s="271"/>
      <c r="AK16" s="271"/>
      <c r="AL16" s="272"/>
      <c r="AM16" s="271"/>
      <c r="AN16" s="271"/>
      <c r="AO16" s="271"/>
      <c r="AP16" s="271"/>
      <c r="AQ16" s="69"/>
      <c r="AR16" s="271"/>
      <c r="AS16" s="271"/>
      <c r="AT16" s="271"/>
      <c r="AU16" s="271"/>
      <c r="AV16" s="271"/>
      <c r="AW16" s="271"/>
      <c r="AX16" s="271"/>
      <c r="AY16" s="271"/>
      <c r="AZ16" s="69"/>
      <c r="BA16" s="69"/>
      <c r="BB16" s="69"/>
      <c r="BC16" s="69"/>
      <c r="BD16" s="69"/>
      <c r="BE16" s="69"/>
      <c r="BF16" s="69"/>
      <c r="BG16" s="69"/>
      <c r="BH16" s="69"/>
      <c r="BI16" s="69"/>
      <c r="BJ16" s="69"/>
      <c r="BK16" s="69"/>
      <c r="BL16" s="69"/>
      <c r="BM16" s="69"/>
      <c r="BN16" s="69"/>
      <c r="BO16" s="69"/>
      <c r="BP16" s="69"/>
    </row>
    <row r="17" customFormat="false" ht="15" hidden="false" customHeight="true" outlineLevel="0" collapsed="false">
      <c r="A17" s="26" t="s">
        <v>778</v>
      </c>
      <c r="D17" s="57"/>
      <c r="F17" s="108"/>
      <c r="G17" s="71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69"/>
      <c r="AK17" s="69"/>
      <c r="AL17" s="69"/>
      <c r="AM17" s="69"/>
      <c r="AN17" s="69"/>
      <c r="AO17" s="69"/>
      <c r="AP17" s="69"/>
      <c r="AQ17" s="69"/>
      <c r="AR17" s="69"/>
      <c r="AS17" s="69"/>
      <c r="AT17" s="69"/>
      <c r="AU17" s="69"/>
      <c r="AV17" s="69"/>
      <c r="AW17" s="69"/>
      <c r="AX17" s="69"/>
      <c r="AY17" s="69"/>
      <c r="AZ17" s="69"/>
      <c r="BA17" s="69"/>
      <c r="BB17" s="69"/>
      <c r="BC17" s="69"/>
      <c r="BD17" s="69"/>
      <c r="BE17" s="69"/>
      <c r="BF17" s="69"/>
      <c r="BG17" s="69"/>
      <c r="BH17" s="69"/>
      <c r="BI17" s="69"/>
      <c r="BJ17" s="69"/>
      <c r="BK17" s="69"/>
      <c r="BL17" s="69"/>
      <c r="BM17" s="69"/>
      <c r="BN17" s="69"/>
      <c r="BO17" s="69"/>
      <c r="BP17" s="69"/>
    </row>
    <row r="18" customFormat="false" ht="15" hidden="false" customHeight="false" outlineLevel="0" collapsed="false">
      <c r="A18" s="1" t="s">
        <v>780</v>
      </c>
      <c r="E18" s="270"/>
      <c r="F18" s="6" t="s">
        <v>204</v>
      </c>
      <c r="G18" s="71" t="n">
        <f aca="false">E18*$M$2</f>
        <v>0</v>
      </c>
      <c r="H18" s="28" t="n">
        <f aca="false">'APUS ARQUITECTURA'!J188</f>
        <v>212.282155333333</v>
      </c>
      <c r="I18" s="1" t="n">
        <f aca="false">G18*H18</f>
        <v>0</v>
      </c>
      <c r="O18" s="270"/>
      <c r="P18" s="270"/>
      <c r="Q18" s="270"/>
      <c r="R18" s="270"/>
      <c r="S18" s="271"/>
      <c r="T18" s="271"/>
      <c r="U18" s="271"/>
      <c r="V18" s="271"/>
      <c r="W18" s="272"/>
      <c r="X18" s="271"/>
      <c r="Y18" s="271"/>
      <c r="Z18" s="271"/>
      <c r="AA18" s="271"/>
      <c r="AB18" s="271"/>
      <c r="AC18" s="271"/>
      <c r="AD18" s="271"/>
      <c r="AE18" s="271"/>
      <c r="AF18" s="271"/>
      <c r="AG18" s="271"/>
      <c r="AH18" s="271"/>
      <c r="AI18" s="271"/>
      <c r="AJ18" s="271"/>
      <c r="AK18" s="271"/>
      <c r="AL18" s="272"/>
      <c r="AM18" s="271"/>
      <c r="AN18" s="271"/>
      <c r="AO18" s="271"/>
      <c r="AP18" s="271"/>
      <c r="AQ18" s="69"/>
      <c r="AR18" s="271"/>
      <c r="AS18" s="271"/>
      <c r="AT18" s="271"/>
      <c r="AU18" s="271"/>
      <c r="AV18" s="271"/>
      <c r="AW18" s="271"/>
      <c r="AX18" s="271"/>
      <c r="AY18" s="271"/>
      <c r="AZ18" s="69"/>
      <c r="BA18" s="69"/>
      <c r="BB18" s="69"/>
      <c r="BC18" s="69"/>
      <c r="BD18" s="69"/>
      <c r="BE18" s="69"/>
      <c r="BF18" s="69"/>
      <c r="BG18" s="69"/>
      <c r="BH18" s="69"/>
      <c r="BI18" s="69"/>
      <c r="BJ18" s="69"/>
      <c r="BK18" s="69"/>
      <c r="BL18" s="69"/>
      <c r="BM18" s="69"/>
      <c r="BN18" s="69"/>
      <c r="BO18" s="69"/>
      <c r="BP18" s="69"/>
    </row>
    <row r="19" customFormat="false" ht="15" hidden="false" customHeight="false" outlineLevel="0" collapsed="false">
      <c r="A19" s="1" t="s">
        <v>782</v>
      </c>
      <c r="E19" s="270" t="n">
        <v>1</v>
      </c>
      <c r="F19" s="6" t="s">
        <v>204</v>
      </c>
      <c r="G19" s="71" t="n">
        <f aca="false">E19*$M$2</f>
        <v>0</v>
      </c>
      <c r="H19" s="28" t="n">
        <f aca="false">'APUS ARQUITECTURA'!J212</f>
        <v>62.663358</v>
      </c>
      <c r="I19" s="1" t="n">
        <f aca="false">G19*H19</f>
        <v>0</v>
      </c>
      <c r="O19" s="270"/>
      <c r="P19" s="270"/>
      <c r="Q19" s="270"/>
      <c r="R19" s="270"/>
      <c r="S19" s="271"/>
      <c r="T19" s="271"/>
      <c r="U19" s="271"/>
      <c r="V19" s="271"/>
      <c r="W19" s="272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2"/>
      <c r="AM19" s="271"/>
      <c r="AN19" s="271"/>
      <c r="AO19" s="271"/>
      <c r="AP19" s="271"/>
      <c r="AQ19" s="69"/>
      <c r="AR19" s="271"/>
      <c r="AS19" s="271"/>
      <c r="AT19" s="271"/>
      <c r="AU19" s="271"/>
      <c r="AV19" s="271"/>
      <c r="AW19" s="271"/>
      <c r="AX19" s="271"/>
      <c r="AY19" s="271"/>
      <c r="AZ19" s="69"/>
      <c r="BA19" s="69"/>
      <c r="BB19" s="69"/>
      <c r="BC19" s="69"/>
      <c r="BD19" s="69"/>
      <c r="BE19" s="69"/>
      <c r="BF19" s="69"/>
      <c r="BG19" s="69"/>
      <c r="BH19" s="69"/>
      <c r="BI19" s="69"/>
      <c r="BJ19" s="69"/>
      <c r="BK19" s="69"/>
      <c r="BL19" s="69"/>
      <c r="BM19" s="69"/>
      <c r="BN19" s="69"/>
      <c r="BO19" s="69"/>
      <c r="BP19" s="69"/>
    </row>
    <row r="20" customFormat="false" ht="15" hidden="false" customHeight="false" outlineLevel="0" collapsed="false">
      <c r="A20" s="15" t="s">
        <v>783</v>
      </c>
      <c r="F20" s="6"/>
      <c r="G20" s="71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9"/>
      <c r="AQ20" s="69"/>
      <c r="AR20" s="69"/>
      <c r="AS20" s="69"/>
      <c r="AT20" s="69"/>
      <c r="AU20" s="69"/>
      <c r="AV20" s="69"/>
      <c r="AW20" s="69"/>
      <c r="AX20" s="69"/>
      <c r="AY20" s="69"/>
      <c r="AZ20" s="69"/>
      <c r="BA20" s="69"/>
      <c r="BB20" s="69"/>
      <c r="BC20" s="69"/>
      <c r="BD20" s="69"/>
      <c r="BE20" s="69"/>
      <c r="BF20" s="69"/>
      <c r="BG20" s="69"/>
      <c r="BH20" s="69"/>
      <c r="BI20" s="69"/>
      <c r="BJ20" s="69"/>
      <c r="BK20" s="69"/>
      <c r="BL20" s="69"/>
      <c r="BM20" s="69"/>
      <c r="BN20" s="69"/>
      <c r="BO20" s="69"/>
      <c r="BP20" s="69"/>
    </row>
    <row r="21" customFormat="false" ht="15" hidden="false" customHeight="false" outlineLevel="0" collapsed="false">
      <c r="A21" s="1" t="s">
        <v>785</v>
      </c>
      <c r="E21" s="270"/>
      <c r="F21" s="6" t="s">
        <v>134</v>
      </c>
      <c r="G21" s="71" t="n">
        <f aca="false">E21*$M$2</f>
        <v>0</v>
      </c>
      <c r="H21" s="28" t="n">
        <f aca="false">'APUS ARQUITECTURA'!J232</f>
        <v>40.18468579</v>
      </c>
      <c r="I21" s="1" t="n">
        <f aca="false">G21*H21</f>
        <v>0</v>
      </c>
      <c r="O21" s="270"/>
      <c r="P21" s="270"/>
      <c r="Q21" s="270"/>
      <c r="R21" s="270"/>
      <c r="S21" s="271"/>
      <c r="T21" s="271"/>
      <c r="U21" s="271"/>
      <c r="V21" s="271"/>
      <c r="W21" s="272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2"/>
      <c r="AM21" s="271"/>
      <c r="AN21" s="271"/>
      <c r="AO21" s="271"/>
      <c r="AP21" s="271"/>
      <c r="AQ21" s="69"/>
      <c r="AR21" s="271"/>
      <c r="AS21" s="271"/>
      <c r="AT21" s="271"/>
      <c r="AU21" s="271"/>
      <c r="AV21" s="271"/>
      <c r="AW21" s="271"/>
      <c r="AX21" s="271"/>
      <c r="AY21" s="271"/>
      <c r="AZ21" s="69"/>
      <c r="BA21" s="69"/>
      <c r="BB21" s="69"/>
      <c r="BC21" s="69"/>
      <c r="BD21" s="69"/>
      <c r="BE21" s="69"/>
      <c r="BF21" s="69"/>
      <c r="BG21" s="69"/>
      <c r="BH21" s="69"/>
      <c r="BI21" s="69"/>
      <c r="BJ21" s="69"/>
      <c r="BK21" s="69"/>
      <c r="BL21" s="69"/>
      <c r="BM21" s="69"/>
      <c r="BN21" s="69"/>
      <c r="BO21" s="69"/>
      <c r="BP21" s="69"/>
    </row>
    <row r="22" customFormat="false" ht="15" hidden="false" customHeight="true" outlineLevel="0" collapsed="false">
      <c r="A22" s="1" t="s">
        <v>787</v>
      </c>
      <c r="E22" s="270"/>
      <c r="F22" s="6" t="s">
        <v>134</v>
      </c>
      <c r="G22" s="71" t="n">
        <f aca="false">E22*$M$2</f>
        <v>0</v>
      </c>
      <c r="H22" s="28" t="n">
        <f aca="false">'APUS ARQUITECTURA'!J252</f>
        <v>206.773372</v>
      </c>
      <c r="I22" s="1" t="n">
        <f aca="false">G22*H22</f>
        <v>0</v>
      </c>
      <c r="O22" s="270"/>
      <c r="P22" s="270"/>
      <c r="Q22" s="270"/>
      <c r="R22" s="270"/>
      <c r="S22" s="271"/>
      <c r="T22" s="271"/>
      <c r="U22" s="271"/>
      <c r="V22" s="271"/>
      <c r="W22" s="272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2"/>
      <c r="AM22" s="271"/>
      <c r="AN22" s="271"/>
      <c r="AO22" s="271"/>
      <c r="AP22" s="271"/>
      <c r="AQ22" s="69"/>
      <c r="AR22" s="271"/>
      <c r="AS22" s="271"/>
      <c r="AT22" s="271"/>
      <c r="AU22" s="271"/>
      <c r="AV22" s="271"/>
      <c r="AW22" s="271"/>
      <c r="AX22" s="271"/>
      <c r="AY22" s="271"/>
      <c r="AZ22" s="69"/>
      <c r="BA22" s="69"/>
      <c r="BB22" s="69"/>
      <c r="BC22" s="69"/>
      <c r="BD22" s="69"/>
      <c r="BE22" s="69"/>
      <c r="BF22" s="69"/>
      <c r="BG22" s="69"/>
      <c r="BH22" s="69"/>
      <c r="BI22" s="69"/>
      <c r="BJ22" s="69"/>
      <c r="BK22" s="69"/>
      <c r="BL22" s="69"/>
      <c r="BM22" s="69"/>
      <c r="BN22" s="69"/>
      <c r="BO22" s="69"/>
      <c r="BP22" s="69"/>
    </row>
    <row r="23" customFormat="false" ht="15" hidden="false" customHeight="false" outlineLevel="0" collapsed="false">
      <c r="A23" s="1" t="s">
        <v>789</v>
      </c>
      <c r="E23" s="270"/>
      <c r="F23" s="6" t="s">
        <v>134</v>
      </c>
      <c r="G23" s="71" t="n">
        <f aca="false">E23*$M$2</f>
        <v>0</v>
      </c>
      <c r="H23" s="28" t="n">
        <f aca="false">'APUS ARQUITECTURA'!J272</f>
        <v>102.656028</v>
      </c>
      <c r="I23" s="1" t="n">
        <f aca="false">G23*H23</f>
        <v>0</v>
      </c>
      <c r="O23" s="270"/>
      <c r="P23" s="270"/>
      <c r="Q23" s="270"/>
      <c r="R23" s="270"/>
      <c r="S23" s="271"/>
      <c r="T23" s="271"/>
      <c r="U23" s="271"/>
      <c r="V23" s="271"/>
      <c r="W23" s="272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2"/>
      <c r="AM23" s="271"/>
      <c r="AN23" s="271"/>
      <c r="AO23" s="271"/>
      <c r="AP23" s="271"/>
      <c r="AQ23" s="69"/>
      <c r="AR23" s="271"/>
      <c r="AS23" s="271"/>
      <c r="AT23" s="271"/>
      <c r="AU23" s="271"/>
      <c r="AV23" s="271"/>
      <c r="AW23" s="271"/>
      <c r="AX23" s="271"/>
      <c r="AY23" s="271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</row>
    <row r="24" customFormat="false" ht="15" hidden="false" customHeight="true" outlineLevel="0" collapsed="false">
      <c r="A24" s="1" t="s">
        <v>791</v>
      </c>
      <c r="E24" s="270"/>
      <c r="F24" s="6" t="s">
        <v>134</v>
      </c>
      <c r="G24" s="71" t="n">
        <f aca="false">E24*$M$2</f>
        <v>0</v>
      </c>
      <c r="H24" s="28" t="n">
        <f aca="false">'APUS ARQUITECTURA'!J292</f>
        <v>47.4322</v>
      </c>
      <c r="I24" s="1" t="n">
        <f aca="false">G24*H24</f>
        <v>0</v>
      </c>
      <c r="O24" s="270"/>
      <c r="P24" s="270"/>
      <c r="Q24" s="270"/>
      <c r="R24" s="270"/>
      <c r="S24" s="271"/>
      <c r="T24" s="271"/>
      <c r="U24" s="271"/>
      <c r="V24" s="271"/>
      <c r="W24" s="272"/>
      <c r="X24" s="271"/>
      <c r="Y24" s="271"/>
      <c r="Z24" s="271"/>
      <c r="AA24" s="271"/>
      <c r="AB24" s="271"/>
      <c r="AC24" s="271"/>
      <c r="AD24" s="271"/>
      <c r="AE24" s="271"/>
      <c r="AF24" s="271"/>
      <c r="AG24" s="271"/>
      <c r="AH24" s="271"/>
      <c r="AI24" s="271"/>
      <c r="AJ24" s="271"/>
      <c r="AK24" s="271"/>
      <c r="AL24" s="272"/>
      <c r="AM24" s="271"/>
      <c r="AN24" s="271"/>
      <c r="AO24" s="271"/>
      <c r="AP24" s="271"/>
      <c r="AQ24" s="69"/>
      <c r="AR24" s="271"/>
      <c r="AS24" s="271"/>
      <c r="AT24" s="271"/>
      <c r="AU24" s="271"/>
      <c r="AV24" s="271"/>
      <c r="AW24" s="271"/>
      <c r="AX24" s="271"/>
      <c r="AY24" s="271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</row>
    <row r="25" customFormat="false" ht="15" hidden="false" customHeight="true" outlineLevel="0" collapsed="false">
      <c r="A25" s="1" t="s">
        <v>793</v>
      </c>
      <c r="E25" s="270"/>
      <c r="F25" s="6" t="s">
        <v>134</v>
      </c>
      <c r="G25" s="71" t="n">
        <f aca="false">E25*$M$2</f>
        <v>0</v>
      </c>
      <c r="H25" s="28" t="n">
        <f aca="false">'APUS ARQUITECTURA'!J318</f>
        <v>51.986298</v>
      </c>
      <c r="I25" s="1" t="n">
        <f aca="false">G25*H25</f>
        <v>0</v>
      </c>
      <c r="O25" s="270"/>
      <c r="P25" s="270"/>
      <c r="Q25" s="270"/>
      <c r="R25" s="270"/>
      <c r="S25" s="271"/>
      <c r="T25" s="271"/>
      <c r="U25" s="271"/>
      <c r="V25" s="271"/>
      <c r="W25" s="272"/>
      <c r="X25" s="271"/>
      <c r="Y25" s="271"/>
      <c r="Z25" s="271"/>
      <c r="AA25" s="271"/>
      <c r="AB25" s="271"/>
      <c r="AC25" s="271"/>
      <c r="AD25" s="271"/>
      <c r="AE25" s="271"/>
      <c r="AF25" s="271"/>
      <c r="AG25" s="271"/>
      <c r="AH25" s="271"/>
      <c r="AI25" s="271"/>
      <c r="AJ25" s="271"/>
      <c r="AK25" s="271"/>
      <c r="AL25" s="272"/>
      <c r="AM25" s="271"/>
      <c r="AN25" s="271"/>
      <c r="AO25" s="271"/>
      <c r="AP25" s="271"/>
      <c r="AQ25" s="69"/>
      <c r="AR25" s="271"/>
      <c r="AS25" s="271"/>
      <c r="AT25" s="271"/>
      <c r="AU25" s="271"/>
      <c r="AV25" s="271"/>
      <c r="AW25" s="271"/>
      <c r="AX25" s="271"/>
      <c r="AY25" s="271"/>
      <c r="AZ25" s="69"/>
      <c r="BA25" s="69"/>
      <c r="BB25" s="69"/>
      <c r="BC25" s="69"/>
      <c r="BD25" s="69"/>
      <c r="BE25" s="69"/>
      <c r="BF25" s="69"/>
      <c r="BG25" s="69"/>
      <c r="BH25" s="69"/>
      <c r="BI25" s="69"/>
      <c r="BJ25" s="69"/>
      <c r="BK25" s="69"/>
      <c r="BL25" s="69"/>
      <c r="BM25" s="69"/>
      <c r="BN25" s="69"/>
      <c r="BO25" s="69"/>
      <c r="BP25" s="69"/>
    </row>
    <row r="26" customFormat="false" ht="15" hidden="false" customHeight="true" outlineLevel="0" collapsed="false">
      <c r="A26" s="1" t="s">
        <v>1388</v>
      </c>
      <c r="E26" s="270"/>
      <c r="F26" s="6" t="s">
        <v>134</v>
      </c>
      <c r="G26" s="71" t="n">
        <f aca="false">E26*$M$2</f>
        <v>0</v>
      </c>
      <c r="H26" s="28" t="n">
        <f aca="false">'APUS ARQUITECTURA'!J340</f>
        <v>201.23</v>
      </c>
      <c r="I26" s="1" t="n">
        <f aca="false">G26*H26</f>
        <v>0</v>
      </c>
      <c r="O26" s="270"/>
      <c r="P26" s="270"/>
      <c r="Q26" s="270"/>
      <c r="R26" s="270"/>
      <c r="S26" s="271"/>
      <c r="T26" s="271"/>
      <c r="U26" s="271"/>
      <c r="V26" s="271"/>
      <c r="W26" s="272"/>
      <c r="X26" s="271"/>
      <c r="Y26" s="271"/>
      <c r="Z26" s="271"/>
      <c r="AA26" s="271"/>
      <c r="AB26" s="271"/>
      <c r="AC26" s="271"/>
      <c r="AD26" s="271"/>
      <c r="AE26" s="271"/>
      <c r="AF26" s="271"/>
      <c r="AG26" s="271"/>
      <c r="AH26" s="271"/>
      <c r="AI26" s="271"/>
      <c r="AJ26" s="271"/>
      <c r="AK26" s="271"/>
      <c r="AL26" s="272"/>
      <c r="AM26" s="271"/>
      <c r="AN26" s="271"/>
      <c r="AO26" s="271"/>
      <c r="AP26" s="271"/>
      <c r="AQ26" s="69"/>
      <c r="AR26" s="271"/>
      <c r="AS26" s="271"/>
      <c r="AT26" s="271"/>
      <c r="AU26" s="271"/>
      <c r="AV26" s="271"/>
      <c r="AW26" s="271"/>
      <c r="AX26" s="271"/>
      <c r="AY26" s="271"/>
      <c r="AZ26" s="69"/>
      <c r="BA26" s="69"/>
      <c r="BB26" s="69"/>
      <c r="BC26" s="69"/>
      <c r="BD26" s="69"/>
      <c r="BE26" s="69"/>
      <c r="BF26" s="69"/>
      <c r="BG26" s="69"/>
      <c r="BH26" s="69"/>
      <c r="BI26" s="69"/>
      <c r="BJ26" s="69"/>
      <c r="BK26" s="69"/>
      <c r="BL26" s="69"/>
      <c r="BM26" s="69"/>
      <c r="BN26" s="69"/>
      <c r="BO26" s="69"/>
      <c r="BP26" s="69"/>
    </row>
    <row r="27" customFormat="false" ht="15" hidden="false" customHeight="true" outlineLevel="0" collapsed="false">
      <c r="A27" s="15" t="s">
        <v>796</v>
      </c>
      <c r="E27" s="270"/>
      <c r="F27" s="6"/>
      <c r="G27" s="71"/>
      <c r="O27" s="270"/>
      <c r="P27" s="270"/>
      <c r="Q27" s="270"/>
      <c r="R27" s="270"/>
      <c r="S27" s="271"/>
      <c r="T27" s="271"/>
      <c r="U27" s="271"/>
      <c r="V27" s="271"/>
      <c r="W27" s="272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2"/>
      <c r="AM27" s="271"/>
      <c r="AN27" s="271"/>
      <c r="AO27" s="271"/>
      <c r="AP27" s="271"/>
      <c r="AQ27" s="69"/>
      <c r="AR27" s="271"/>
      <c r="AS27" s="271"/>
      <c r="AT27" s="271"/>
      <c r="AU27" s="271"/>
      <c r="AV27" s="271"/>
      <c r="AW27" s="271"/>
      <c r="AX27" s="271"/>
      <c r="AY27" s="271"/>
      <c r="AZ27" s="69"/>
      <c r="BA27" s="69"/>
      <c r="BB27" s="69"/>
      <c r="BC27" s="69"/>
      <c r="BD27" s="69"/>
      <c r="BE27" s="69"/>
      <c r="BF27" s="69"/>
      <c r="BG27" s="69"/>
      <c r="BH27" s="69"/>
      <c r="BI27" s="69"/>
      <c r="BJ27" s="69"/>
      <c r="BK27" s="69"/>
      <c r="BL27" s="69"/>
      <c r="BM27" s="69"/>
      <c r="BN27" s="69"/>
      <c r="BO27" s="69"/>
      <c r="BP27" s="69"/>
    </row>
    <row r="28" customFormat="false" ht="15" hidden="false" customHeight="true" outlineLevel="0" collapsed="false">
      <c r="A28" s="1" t="s">
        <v>798</v>
      </c>
      <c r="E28" s="270"/>
      <c r="F28" s="6" t="s">
        <v>145</v>
      </c>
      <c r="G28" s="71" t="n">
        <f aca="false">E28*$M$2</f>
        <v>0</v>
      </c>
      <c r="H28" s="28" t="n">
        <f aca="false">'APUS ARQUITECTURA'!J347</f>
        <v>20.56998</v>
      </c>
      <c r="I28" s="1" t="n">
        <f aca="false">G28*H28</f>
        <v>0</v>
      </c>
      <c r="O28" s="270"/>
      <c r="P28" s="270"/>
      <c r="Q28" s="270"/>
      <c r="R28" s="270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2"/>
      <c r="AM28" s="271"/>
      <c r="AN28" s="271"/>
      <c r="AO28" s="271"/>
      <c r="AP28" s="271"/>
      <c r="AQ28" s="69"/>
      <c r="AR28" s="271"/>
      <c r="AS28" s="271"/>
      <c r="AT28" s="271"/>
      <c r="AU28" s="271"/>
      <c r="AV28" s="271"/>
      <c r="AW28" s="271"/>
      <c r="AX28" s="271"/>
      <c r="AY28" s="271"/>
      <c r="AZ28" s="69"/>
      <c r="BA28" s="69"/>
      <c r="BB28" s="69"/>
      <c r="BC28" s="69"/>
      <c r="BD28" s="69"/>
      <c r="BE28" s="69"/>
      <c r="BF28" s="69"/>
      <c r="BG28" s="69"/>
      <c r="BH28" s="69"/>
      <c r="BI28" s="69"/>
      <c r="BJ28" s="69"/>
      <c r="BK28" s="69"/>
      <c r="BL28" s="69"/>
      <c r="BM28" s="69"/>
      <c r="BN28" s="69"/>
      <c r="BO28" s="69"/>
      <c r="BP28" s="69"/>
    </row>
    <row r="29" customFormat="false" ht="15" hidden="false" customHeight="true" outlineLevel="0" collapsed="false">
      <c r="A29" s="1" t="s">
        <v>800</v>
      </c>
      <c r="E29" s="270"/>
      <c r="F29" s="6" t="s">
        <v>145</v>
      </c>
      <c r="G29" s="71" t="n">
        <f aca="false">E29*$M$2</f>
        <v>0</v>
      </c>
      <c r="H29" s="28" t="n">
        <f aca="false">'APUS ARQUITECTURA'!J364</f>
        <v>26.68748</v>
      </c>
      <c r="I29" s="1" t="n">
        <f aca="false">G29*H29</f>
        <v>0</v>
      </c>
      <c r="O29" s="270"/>
      <c r="P29" s="270"/>
      <c r="Q29" s="270"/>
      <c r="R29" s="270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2"/>
      <c r="AM29" s="271"/>
      <c r="AN29" s="271"/>
      <c r="AO29" s="271"/>
      <c r="AP29" s="271"/>
      <c r="AQ29" s="69"/>
      <c r="AR29" s="271"/>
      <c r="AS29" s="271"/>
      <c r="AT29" s="271"/>
      <c r="AU29" s="271"/>
      <c r="AV29" s="271"/>
      <c r="AW29" s="271"/>
      <c r="AX29" s="271"/>
      <c r="AY29" s="271"/>
      <c r="AZ29" s="69"/>
      <c r="BA29" s="69"/>
      <c r="BB29" s="69"/>
      <c r="BC29" s="69"/>
      <c r="BD29" s="69"/>
      <c r="BE29" s="69"/>
      <c r="BF29" s="69"/>
      <c r="BG29" s="69"/>
      <c r="BH29" s="69"/>
      <c r="BI29" s="69"/>
      <c r="BJ29" s="69"/>
      <c r="BK29" s="69"/>
      <c r="BL29" s="69"/>
      <c r="BM29" s="69"/>
      <c r="BN29" s="69"/>
      <c r="BO29" s="69"/>
      <c r="BP29" s="69"/>
    </row>
    <row r="30" customFormat="false" ht="15" hidden="false" customHeight="true" outlineLevel="0" collapsed="false">
      <c r="A30" s="1" t="s">
        <v>802</v>
      </c>
      <c r="E30" s="270"/>
      <c r="F30" s="6" t="s">
        <v>145</v>
      </c>
      <c r="G30" s="71" t="n">
        <f aca="false">E30*$M$2</f>
        <v>0</v>
      </c>
      <c r="H30" s="28" t="n">
        <f aca="false">'APUS ARQUITECTURA'!J383</f>
        <v>36.537022</v>
      </c>
      <c r="I30" s="1" t="n">
        <f aca="false">G30*H30</f>
        <v>0</v>
      </c>
      <c r="O30" s="270"/>
      <c r="P30" s="270"/>
      <c r="Q30" s="270"/>
      <c r="R30" s="270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2"/>
      <c r="AM30" s="271"/>
      <c r="AN30" s="271"/>
      <c r="AO30" s="271"/>
      <c r="AP30" s="271"/>
      <c r="AQ30" s="69"/>
      <c r="AR30" s="271"/>
      <c r="AS30" s="271"/>
      <c r="AT30" s="271"/>
      <c r="AU30" s="271"/>
      <c r="AV30" s="271"/>
      <c r="AW30" s="271"/>
      <c r="AX30" s="271"/>
      <c r="AY30" s="271"/>
      <c r="AZ30" s="69"/>
      <c r="BA30" s="69"/>
      <c r="BB30" s="69"/>
      <c r="BC30" s="69"/>
      <c r="BD30" s="69"/>
      <c r="BE30" s="69"/>
      <c r="BF30" s="69"/>
      <c r="BG30" s="69"/>
      <c r="BH30" s="69"/>
      <c r="BI30" s="69"/>
      <c r="BJ30" s="69"/>
      <c r="BK30" s="69"/>
      <c r="BL30" s="69"/>
      <c r="BM30" s="69"/>
      <c r="BN30" s="69"/>
      <c r="BO30" s="69"/>
      <c r="BP30" s="69"/>
    </row>
    <row r="31" customFormat="false" ht="15" hidden="false" customHeight="true" outlineLevel="0" collapsed="false">
      <c r="A31" s="1" t="s">
        <v>804</v>
      </c>
      <c r="E31" s="270"/>
      <c r="F31" s="6" t="s">
        <v>145</v>
      </c>
      <c r="G31" s="71" t="n">
        <f aca="false">E31*$M$2</f>
        <v>0</v>
      </c>
      <c r="H31" s="28" t="n">
        <f aca="false">'APUS ARQUITECTURA'!J403</f>
        <v>25</v>
      </c>
      <c r="I31" s="1" t="n">
        <f aca="false">G31*H31</f>
        <v>0</v>
      </c>
      <c r="O31" s="270"/>
      <c r="P31" s="270"/>
      <c r="Q31" s="270"/>
      <c r="R31" s="270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2"/>
      <c r="AM31" s="271"/>
      <c r="AN31" s="271"/>
      <c r="AO31" s="271"/>
      <c r="AP31" s="271"/>
      <c r="AQ31" s="69"/>
      <c r="AR31" s="271"/>
      <c r="AS31" s="271"/>
      <c r="AT31" s="271"/>
      <c r="AU31" s="271"/>
      <c r="AV31" s="271"/>
      <c r="AW31" s="271"/>
      <c r="AX31" s="271"/>
      <c r="AY31" s="271"/>
      <c r="AZ31" s="69"/>
      <c r="BA31" s="69"/>
      <c r="BB31" s="69"/>
      <c r="BC31" s="69"/>
      <c r="BD31" s="69"/>
      <c r="BE31" s="69"/>
      <c r="BF31" s="69"/>
      <c r="BG31" s="69"/>
      <c r="BH31" s="69"/>
      <c r="BI31" s="69"/>
      <c r="BJ31" s="69"/>
      <c r="BK31" s="69"/>
      <c r="BL31" s="69"/>
      <c r="BM31" s="69"/>
      <c r="BN31" s="69"/>
      <c r="BO31" s="69"/>
      <c r="BP31" s="69"/>
    </row>
    <row r="32" customFormat="false" ht="15" hidden="false" customHeight="true" outlineLevel="0" collapsed="false">
      <c r="A32" s="1" t="s">
        <v>806</v>
      </c>
      <c r="E32" s="270"/>
      <c r="F32" s="6" t="s">
        <v>145</v>
      </c>
      <c r="G32" s="71" t="n">
        <f aca="false">E32*$M$2</f>
        <v>0</v>
      </c>
      <c r="H32" s="28" t="n">
        <f aca="false">'APUS ARQUITECTURA'!J410</f>
        <v>44.1927466666667</v>
      </c>
      <c r="I32" s="1" t="n">
        <f aca="false">G32*H32</f>
        <v>0</v>
      </c>
      <c r="O32" s="270"/>
      <c r="P32" s="270"/>
      <c r="Q32" s="270"/>
      <c r="R32" s="270"/>
      <c r="S32" s="271"/>
      <c r="T32" s="271"/>
      <c r="U32" s="271"/>
      <c r="V32" s="271"/>
      <c r="W32" s="272"/>
      <c r="X32" s="271"/>
      <c r="Y32" s="271"/>
      <c r="Z32" s="271"/>
      <c r="AA32" s="271"/>
      <c r="AB32" s="271"/>
      <c r="AC32" s="271"/>
      <c r="AD32" s="271"/>
      <c r="AE32" s="271"/>
      <c r="AF32" s="271"/>
      <c r="AG32" s="271"/>
      <c r="AH32" s="271"/>
      <c r="AI32" s="271"/>
      <c r="AJ32" s="271"/>
      <c r="AK32" s="271"/>
      <c r="AL32" s="272"/>
      <c r="AM32" s="271"/>
      <c r="AN32" s="271"/>
      <c r="AO32" s="271"/>
      <c r="AP32" s="271"/>
      <c r="AQ32" s="69"/>
      <c r="AR32" s="271"/>
      <c r="AS32" s="271"/>
      <c r="AT32" s="271"/>
      <c r="AU32" s="271"/>
      <c r="AV32" s="271"/>
      <c r="AW32" s="271"/>
      <c r="AX32" s="271"/>
      <c r="AY32" s="271"/>
      <c r="AZ32" s="69"/>
      <c r="BA32" s="69"/>
      <c r="BB32" s="69"/>
      <c r="BC32" s="69"/>
      <c r="BD32" s="69"/>
      <c r="BE32" s="69"/>
      <c r="BF32" s="69"/>
      <c r="BG32" s="69"/>
      <c r="BH32" s="69"/>
      <c r="BI32" s="69"/>
      <c r="BJ32" s="69"/>
      <c r="BK32" s="69"/>
      <c r="BL32" s="69"/>
      <c r="BM32" s="69"/>
      <c r="BN32" s="69"/>
      <c r="BO32" s="69"/>
      <c r="BP32" s="69"/>
    </row>
    <row r="33" customFormat="false" ht="15" hidden="false" customHeight="true" outlineLevel="0" collapsed="false">
      <c r="A33" s="1" t="s">
        <v>808</v>
      </c>
      <c r="E33" s="270"/>
      <c r="F33" s="6" t="s">
        <v>145</v>
      </c>
      <c r="G33" s="71" t="n">
        <f aca="false">E33*$M$2</f>
        <v>0</v>
      </c>
      <c r="H33" s="28" t="n">
        <f aca="false">'APUS ARQUITECTURA'!J430</f>
        <v>84.43849</v>
      </c>
      <c r="I33" s="1" t="n">
        <f aca="false">G33*H33</f>
        <v>0</v>
      </c>
      <c r="O33" s="270"/>
      <c r="P33" s="270"/>
      <c r="Q33" s="270"/>
      <c r="R33" s="270"/>
      <c r="S33" s="271"/>
      <c r="T33" s="271"/>
      <c r="U33" s="271"/>
      <c r="V33" s="271"/>
      <c r="W33" s="272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2"/>
      <c r="AM33" s="271"/>
      <c r="AN33" s="271"/>
      <c r="AO33" s="271"/>
      <c r="AP33" s="271"/>
      <c r="AQ33" s="69"/>
      <c r="AR33" s="271"/>
      <c r="AS33" s="271"/>
      <c r="AT33" s="271"/>
      <c r="AU33" s="271"/>
      <c r="AV33" s="271"/>
      <c r="AW33" s="271"/>
      <c r="AX33" s="271"/>
      <c r="AY33" s="271"/>
      <c r="AZ33" s="69"/>
      <c r="BA33" s="69"/>
      <c r="BB33" s="69"/>
      <c r="BC33" s="69"/>
      <c r="BD33" s="69"/>
      <c r="BE33" s="69"/>
      <c r="BF33" s="69"/>
      <c r="BG33" s="69"/>
      <c r="BH33" s="69"/>
      <c r="BI33" s="69"/>
      <c r="BJ33" s="69"/>
      <c r="BK33" s="69"/>
      <c r="BL33" s="69"/>
      <c r="BM33" s="69"/>
      <c r="BN33" s="69"/>
      <c r="BO33" s="69"/>
      <c r="BP33" s="69"/>
    </row>
    <row r="34" customFormat="false" ht="15" hidden="false" customHeight="true" outlineLevel="0" collapsed="false">
      <c r="A34" s="15" t="s">
        <v>809</v>
      </c>
      <c r="E34" s="270"/>
      <c r="F34" s="6"/>
      <c r="G34" s="71"/>
      <c r="H34" s="28"/>
      <c r="O34" s="270"/>
      <c r="P34" s="270"/>
      <c r="Q34" s="270"/>
      <c r="R34" s="270"/>
      <c r="S34" s="271"/>
      <c r="T34" s="271"/>
      <c r="U34" s="271"/>
      <c r="V34" s="271"/>
      <c r="W34" s="272"/>
      <c r="X34" s="271"/>
      <c r="Y34" s="271"/>
      <c r="Z34" s="271"/>
      <c r="AA34" s="271"/>
      <c r="AB34" s="271"/>
      <c r="AC34" s="271"/>
      <c r="AD34" s="271"/>
      <c r="AE34" s="271"/>
      <c r="AF34" s="271"/>
      <c r="AG34" s="271"/>
      <c r="AH34" s="271"/>
      <c r="AI34" s="271"/>
      <c r="AJ34" s="271"/>
      <c r="AK34" s="271"/>
      <c r="AL34" s="272"/>
      <c r="AM34" s="271"/>
      <c r="AN34" s="271"/>
      <c r="AO34" s="271"/>
      <c r="AP34" s="271"/>
      <c r="AQ34" s="69"/>
      <c r="AR34" s="271"/>
      <c r="AS34" s="271"/>
      <c r="AT34" s="271"/>
      <c r="AU34" s="271"/>
      <c r="AV34" s="271"/>
      <c r="AW34" s="271"/>
      <c r="AX34" s="271"/>
      <c r="AY34" s="271"/>
      <c r="AZ34" s="69"/>
      <c r="BA34" s="69"/>
      <c r="BB34" s="69"/>
      <c r="BC34" s="69"/>
      <c r="BD34" s="69"/>
      <c r="BE34" s="69"/>
      <c r="BF34" s="69"/>
      <c r="BG34" s="69"/>
      <c r="BH34" s="69"/>
      <c r="BI34" s="69"/>
      <c r="BJ34" s="69"/>
      <c r="BK34" s="69"/>
      <c r="BL34" s="69"/>
      <c r="BM34" s="69"/>
      <c r="BN34" s="69"/>
      <c r="BO34" s="69"/>
      <c r="BP34" s="69"/>
    </row>
    <row r="35" customFormat="false" ht="15" hidden="false" customHeight="true" outlineLevel="0" collapsed="false">
      <c r="A35" s="1" t="s">
        <v>811</v>
      </c>
      <c r="E35" s="277"/>
      <c r="F35" s="6" t="s">
        <v>134</v>
      </c>
      <c r="G35" s="71" t="n">
        <f aca="false">E35*$M$2</f>
        <v>0</v>
      </c>
      <c r="H35" s="28" t="n">
        <f aca="false">'APUS ARQUITECTURA'!J449</f>
        <v>560.6226</v>
      </c>
      <c r="I35" s="1" t="n">
        <f aca="false">G35*H35</f>
        <v>0</v>
      </c>
      <c r="O35" s="273"/>
      <c r="P35" s="277"/>
      <c r="Q35" s="277"/>
      <c r="R35" s="277"/>
      <c r="S35" s="278"/>
      <c r="T35" s="278"/>
      <c r="U35" s="278"/>
      <c r="V35" s="278"/>
      <c r="W35" s="278"/>
      <c r="X35" s="278"/>
      <c r="Y35" s="278"/>
      <c r="Z35" s="278"/>
      <c r="AA35" s="278"/>
      <c r="AB35" s="278"/>
      <c r="AC35" s="278"/>
      <c r="AD35" s="279"/>
      <c r="AE35" s="278"/>
      <c r="AF35" s="278"/>
      <c r="AG35" s="278"/>
      <c r="AH35" s="278"/>
      <c r="AI35" s="278"/>
      <c r="AJ35" s="278"/>
      <c r="AK35" s="278"/>
      <c r="AL35" s="275"/>
      <c r="AM35" s="278"/>
      <c r="AN35" s="278"/>
      <c r="AO35" s="278"/>
      <c r="AP35" s="278"/>
      <c r="AQ35" s="69"/>
      <c r="AR35" s="278"/>
      <c r="AS35" s="278"/>
      <c r="AT35" s="278"/>
      <c r="AU35" s="278"/>
      <c r="AV35" s="278"/>
      <c r="AW35" s="278"/>
      <c r="AX35" s="278"/>
      <c r="AY35" s="278"/>
      <c r="AZ35" s="69"/>
      <c r="BA35" s="69"/>
      <c r="BB35" s="69"/>
      <c r="BC35" s="69"/>
      <c r="BD35" s="69"/>
      <c r="BE35" s="69"/>
      <c r="BF35" s="69"/>
      <c r="BG35" s="69"/>
      <c r="BH35" s="69"/>
      <c r="BI35" s="69"/>
      <c r="BJ35" s="69"/>
      <c r="BK35" s="69"/>
      <c r="BL35" s="69"/>
      <c r="BM35" s="69"/>
      <c r="BN35" s="69"/>
      <c r="BO35" s="69"/>
      <c r="BP35" s="69"/>
    </row>
    <row r="36" customFormat="false" ht="15" hidden="false" customHeight="false" outlineLevel="0" collapsed="false">
      <c r="A36" s="1" t="s">
        <v>813</v>
      </c>
      <c r="E36" s="270"/>
      <c r="F36" s="6" t="s">
        <v>134</v>
      </c>
      <c r="G36" s="71" t="n">
        <f aca="false">E36*$M$2</f>
        <v>0</v>
      </c>
      <c r="H36" s="28" t="n">
        <f aca="false">'APUS ARQUITECTURA'!J456</f>
        <v>367.870834240906</v>
      </c>
      <c r="I36" s="1" t="n">
        <f aca="false">G36*H36</f>
        <v>0</v>
      </c>
      <c r="O36" s="270"/>
      <c r="P36" s="270"/>
      <c r="Q36" s="270"/>
      <c r="R36" s="270"/>
      <c r="S36" s="271"/>
      <c r="T36" s="271"/>
      <c r="U36" s="271"/>
      <c r="V36" s="271"/>
      <c r="W36" s="272"/>
      <c r="X36" s="271"/>
      <c r="Y36" s="271"/>
      <c r="Z36" s="271"/>
      <c r="AA36" s="271"/>
      <c r="AB36" s="271"/>
      <c r="AC36" s="271"/>
      <c r="AD36" s="271"/>
      <c r="AE36" s="271"/>
      <c r="AF36" s="271"/>
      <c r="AG36" s="271"/>
      <c r="AH36" s="271"/>
      <c r="AI36" s="271"/>
      <c r="AJ36" s="271"/>
      <c r="AK36" s="271"/>
      <c r="AL36" s="272"/>
      <c r="AM36" s="271"/>
      <c r="AN36" s="271"/>
      <c r="AO36" s="271"/>
      <c r="AP36" s="271"/>
      <c r="AQ36" s="69"/>
      <c r="AR36" s="271"/>
      <c r="AS36" s="271"/>
      <c r="AT36" s="271"/>
      <c r="AU36" s="271"/>
      <c r="AV36" s="271"/>
      <c r="AW36" s="271"/>
      <c r="AX36" s="271"/>
      <c r="AY36" s="271"/>
      <c r="AZ36" s="69"/>
      <c r="BA36" s="69"/>
      <c r="BB36" s="69"/>
      <c r="BC36" s="69"/>
      <c r="BD36" s="69"/>
      <c r="BE36" s="69"/>
      <c r="BF36" s="69"/>
      <c r="BG36" s="69"/>
      <c r="BH36" s="69"/>
      <c r="BI36" s="69"/>
      <c r="BJ36" s="69"/>
      <c r="BK36" s="69"/>
      <c r="BL36" s="69"/>
      <c r="BM36" s="69"/>
      <c r="BN36" s="69"/>
      <c r="BO36" s="69"/>
      <c r="BP36" s="69"/>
    </row>
    <row r="37" customFormat="false" ht="15" hidden="false" customHeight="true" outlineLevel="0" collapsed="false">
      <c r="A37" s="1" t="s">
        <v>815</v>
      </c>
      <c r="E37" s="280"/>
      <c r="F37" s="6" t="s">
        <v>134</v>
      </c>
      <c r="G37" s="71" t="n">
        <f aca="false">E37*$M$2</f>
        <v>0</v>
      </c>
      <c r="H37" s="28" t="n">
        <f aca="false">'APUS ARQUITECTURA'!J463</f>
        <v>514.537194137164</v>
      </c>
      <c r="I37" s="1" t="n">
        <f aca="false">G37*H37</f>
        <v>0</v>
      </c>
      <c r="K37" s="82"/>
      <c r="O37" s="281"/>
      <c r="P37" s="280"/>
      <c r="Q37" s="280"/>
      <c r="R37" s="280"/>
      <c r="S37" s="282"/>
      <c r="T37" s="282"/>
      <c r="U37" s="282"/>
      <c r="V37" s="282"/>
      <c r="W37" s="282"/>
      <c r="X37" s="282"/>
      <c r="Y37" s="282"/>
      <c r="Z37" s="282"/>
      <c r="AA37" s="282"/>
      <c r="AB37" s="282"/>
      <c r="AC37" s="282"/>
      <c r="AD37" s="282"/>
      <c r="AE37" s="282"/>
      <c r="AF37" s="282"/>
      <c r="AG37" s="282"/>
      <c r="AH37" s="282"/>
      <c r="AI37" s="282"/>
      <c r="AJ37" s="282"/>
      <c r="AK37" s="282"/>
      <c r="AL37" s="282"/>
      <c r="AM37" s="282"/>
      <c r="AN37" s="282"/>
      <c r="AO37" s="282"/>
      <c r="AP37" s="282"/>
      <c r="AQ37" s="69"/>
      <c r="AR37" s="282"/>
      <c r="AS37" s="282"/>
      <c r="AT37" s="282"/>
      <c r="AU37" s="282"/>
      <c r="AV37" s="282"/>
      <c r="AW37" s="282"/>
      <c r="AX37" s="282"/>
      <c r="AY37" s="282"/>
      <c r="AZ37" s="69"/>
      <c r="BA37" s="69"/>
      <c r="BB37" s="69"/>
      <c r="BC37" s="69"/>
      <c r="BD37" s="69"/>
      <c r="BE37" s="69"/>
      <c r="BF37" s="69"/>
      <c r="BG37" s="69"/>
      <c r="BH37" s="69"/>
      <c r="BI37" s="69"/>
      <c r="BJ37" s="69"/>
      <c r="BK37" s="69"/>
      <c r="BL37" s="69"/>
      <c r="BM37" s="69"/>
      <c r="BN37" s="69"/>
      <c r="BO37" s="69"/>
      <c r="BP37" s="69"/>
    </row>
    <row r="38" customFormat="false" ht="15" hidden="false" customHeight="false" outlineLevel="0" collapsed="false">
      <c r="A38" s="1" t="s">
        <v>817</v>
      </c>
      <c r="E38" s="273"/>
      <c r="F38" s="6" t="s">
        <v>145</v>
      </c>
      <c r="G38" s="71" t="n">
        <f aca="false">E38*$M$2</f>
        <v>0</v>
      </c>
      <c r="H38" s="28" t="n">
        <f aca="false">'APUS ARQUITECTURA'!J470</f>
        <v>622.13</v>
      </c>
      <c r="I38" s="1" t="n">
        <f aca="false">G38*H38</f>
        <v>0</v>
      </c>
      <c r="K38" s="82"/>
      <c r="O38" s="273"/>
      <c r="P38" s="273"/>
      <c r="Q38" s="273"/>
      <c r="R38" s="273"/>
      <c r="S38" s="274"/>
      <c r="T38" s="274"/>
      <c r="U38" s="274"/>
      <c r="V38" s="274"/>
      <c r="W38" s="274"/>
      <c r="X38" s="274"/>
      <c r="Y38" s="274"/>
      <c r="Z38" s="274"/>
      <c r="AA38" s="274"/>
      <c r="AB38" s="274"/>
      <c r="AC38" s="274"/>
      <c r="AD38" s="274"/>
      <c r="AE38" s="274"/>
      <c r="AF38" s="274"/>
      <c r="AG38" s="274"/>
      <c r="AH38" s="274"/>
      <c r="AI38" s="274"/>
      <c r="AJ38" s="274"/>
      <c r="AK38" s="274"/>
      <c r="AL38" s="274"/>
      <c r="AM38" s="274"/>
      <c r="AN38" s="274"/>
      <c r="AO38" s="274"/>
      <c r="AP38" s="274"/>
      <c r="AQ38" s="69"/>
      <c r="AR38" s="274"/>
      <c r="AS38" s="274"/>
      <c r="AT38" s="274"/>
      <c r="AU38" s="274"/>
      <c r="AV38" s="274"/>
      <c r="AW38" s="274"/>
      <c r="AX38" s="274"/>
      <c r="AY38" s="274"/>
      <c r="AZ38" s="69"/>
      <c r="BA38" s="69"/>
      <c r="BB38" s="69"/>
      <c r="BC38" s="69"/>
      <c r="BD38" s="69"/>
      <c r="BE38" s="69"/>
      <c r="BF38" s="69"/>
      <c r="BG38" s="69"/>
      <c r="BH38" s="69"/>
      <c r="BI38" s="69"/>
      <c r="BJ38" s="69"/>
      <c r="BK38" s="69"/>
      <c r="BL38" s="69"/>
      <c r="BM38" s="69"/>
      <c r="BN38" s="69"/>
      <c r="BO38" s="69"/>
      <c r="BP38" s="69"/>
    </row>
    <row r="39" customFormat="false" ht="15" hidden="false" customHeight="true" outlineLevel="0" collapsed="false">
      <c r="A39" s="1" t="s">
        <v>819</v>
      </c>
      <c r="E39" s="270"/>
      <c r="F39" s="6" t="s">
        <v>134</v>
      </c>
      <c r="G39" s="71" t="n">
        <f aca="false">E39*$M$2</f>
        <v>0</v>
      </c>
      <c r="H39" s="28" t="n">
        <f aca="false">'APUS ARQUITECTURA'!J477</f>
        <v>54.78</v>
      </c>
      <c r="I39" s="1" t="n">
        <f aca="false">G39*H39</f>
        <v>0</v>
      </c>
      <c r="K39" s="82"/>
      <c r="O39" s="270"/>
      <c r="P39" s="270"/>
      <c r="Q39" s="270"/>
      <c r="R39" s="270"/>
      <c r="S39" s="271"/>
      <c r="T39" s="271"/>
      <c r="U39" s="271"/>
      <c r="V39" s="271"/>
      <c r="W39" s="272"/>
      <c r="X39" s="271"/>
      <c r="Y39" s="271"/>
      <c r="Z39" s="271"/>
      <c r="AA39" s="271"/>
      <c r="AB39" s="271"/>
      <c r="AC39" s="271"/>
      <c r="AD39" s="271"/>
      <c r="AE39" s="271"/>
      <c r="AF39" s="271"/>
      <c r="AG39" s="271"/>
      <c r="AH39" s="271"/>
      <c r="AI39" s="271"/>
      <c r="AJ39" s="271"/>
      <c r="AK39" s="271"/>
      <c r="AL39" s="272"/>
      <c r="AM39" s="271"/>
      <c r="AN39" s="271"/>
      <c r="AO39" s="271"/>
      <c r="AP39" s="271"/>
      <c r="AQ39" s="69"/>
      <c r="AR39" s="271"/>
      <c r="AS39" s="271"/>
      <c r="AT39" s="271"/>
      <c r="AU39" s="271"/>
      <c r="AV39" s="271"/>
      <c r="AW39" s="271"/>
      <c r="AX39" s="271"/>
      <c r="AY39" s="271"/>
      <c r="AZ39" s="69"/>
      <c r="BA39" s="69"/>
      <c r="BB39" s="69"/>
      <c r="BC39" s="69"/>
      <c r="BD39" s="69"/>
      <c r="BE39" s="69"/>
      <c r="BF39" s="69"/>
      <c r="BG39" s="69"/>
      <c r="BH39" s="69"/>
      <c r="BI39" s="69"/>
      <c r="BJ39" s="69"/>
      <c r="BK39" s="69"/>
      <c r="BL39" s="69"/>
      <c r="BM39" s="69"/>
      <c r="BN39" s="69"/>
      <c r="BO39" s="69"/>
      <c r="BP39" s="69"/>
    </row>
    <row r="40" customFormat="false" ht="15" hidden="false" customHeight="false" outlineLevel="0" collapsed="false">
      <c r="A40" s="15" t="s">
        <v>820</v>
      </c>
      <c r="F40" s="6"/>
      <c r="G40" s="71"/>
      <c r="K40" s="82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  <c r="AI40" s="69"/>
      <c r="AJ40" s="69"/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69"/>
      <c r="BF40" s="69"/>
      <c r="BG40" s="69"/>
      <c r="BH40" s="69"/>
      <c r="BI40" s="69"/>
      <c r="BJ40" s="69"/>
      <c r="BK40" s="69"/>
      <c r="BL40" s="69"/>
      <c r="BM40" s="69"/>
      <c r="BN40" s="69"/>
      <c r="BO40" s="69"/>
      <c r="BP40" s="69"/>
    </row>
    <row r="41" customFormat="false" ht="15" hidden="false" customHeight="true" outlineLevel="0" collapsed="false">
      <c r="A41" s="1" t="s">
        <v>822</v>
      </c>
      <c r="E41" s="270"/>
      <c r="F41" s="6" t="s">
        <v>134</v>
      </c>
      <c r="G41" s="71" t="n">
        <f aca="false">E41*$M$2</f>
        <v>0</v>
      </c>
      <c r="H41" s="28" t="n">
        <f aca="false">'APUS ARQUITECTURA'!J484</f>
        <v>15.625164</v>
      </c>
      <c r="I41" s="1" t="n">
        <f aca="false">G41*H41</f>
        <v>0</v>
      </c>
      <c r="K41" s="82"/>
      <c r="O41" s="270"/>
      <c r="P41" s="270"/>
      <c r="Q41" s="270"/>
      <c r="R41" s="270"/>
      <c r="S41" s="271"/>
      <c r="T41" s="271"/>
      <c r="U41" s="271"/>
      <c r="V41" s="271"/>
      <c r="W41" s="272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2"/>
      <c r="AM41" s="271"/>
      <c r="AN41" s="271"/>
      <c r="AO41" s="271"/>
      <c r="AP41" s="271"/>
      <c r="AQ41" s="69"/>
      <c r="AR41" s="271"/>
      <c r="AS41" s="271"/>
      <c r="AT41" s="271"/>
      <c r="AU41" s="271"/>
      <c r="AV41" s="271"/>
      <c r="AW41" s="271"/>
      <c r="AX41" s="271"/>
      <c r="AY41" s="271"/>
      <c r="AZ41" s="69"/>
      <c r="BA41" s="69"/>
      <c r="BB41" s="69"/>
      <c r="BC41" s="69"/>
      <c r="BD41" s="69"/>
      <c r="BE41" s="69"/>
      <c r="BF41" s="69"/>
      <c r="BG41" s="69"/>
      <c r="BH41" s="69"/>
      <c r="BI41" s="69"/>
      <c r="BJ41" s="69"/>
      <c r="BK41" s="69"/>
      <c r="BL41" s="69"/>
      <c r="BM41" s="69"/>
      <c r="BN41" s="69"/>
      <c r="BO41" s="69"/>
      <c r="BP41" s="69"/>
    </row>
    <row r="42" customFormat="false" ht="15" hidden="false" customHeight="false" outlineLevel="0" collapsed="false">
      <c r="A42" s="1" t="s">
        <v>824</v>
      </c>
      <c r="B42" s="109"/>
      <c r="C42" s="109"/>
      <c r="D42" s="109"/>
      <c r="E42" s="270"/>
      <c r="F42" s="110" t="s">
        <v>134</v>
      </c>
      <c r="G42" s="71" t="n">
        <f aca="false">E42*$M$2</f>
        <v>0</v>
      </c>
      <c r="H42" s="28" t="n">
        <f aca="false">'APUS ARQUITECTURA'!J504</f>
        <v>15.9562854545455</v>
      </c>
      <c r="I42" s="1" t="n">
        <f aca="false">G42*H42</f>
        <v>0</v>
      </c>
      <c r="O42" s="270"/>
      <c r="P42" s="270"/>
      <c r="Q42" s="270"/>
      <c r="R42" s="270"/>
      <c r="S42" s="271"/>
      <c r="T42" s="271"/>
      <c r="U42" s="271"/>
      <c r="V42" s="271"/>
      <c r="W42" s="272"/>
      <c r="X42" s="271"/>
      <c r="Y42" s="271"/>
      <c r="Z42" s="271"/>
      <c r="AA42" s="271"/>
      <c r="AB42" s="271"/>
      <c r="AC42" s="271"/>
      <c r="AD42" s="271"/>
      <c r="AE42" s="271"/>
      <c r="AF42" s="271"/>
      <c r="AG42" s="271"/>
      <c r="AH42" s="271"/>
      <c r="AI42" s="271"/>
      <c r="AJ42" s="271"/>
      <c r="AK42" s="271"/>
      <c r="AL42" s="272"/>
      <c r="AM42" s="271"/>
      <c r="AN42" s="271"/>
      <c r="AO42" s="271"/>
      <c r="AP42" s="271"/>
      <c r="AQ42" s="69"/>
      <c r="AR42" s="271"/>
      <c r="AS42" s="271"/>
      <c r="AT42" s="271"/>
      <c r="AU42" s="271"/>
      <c r="AV42" s="271"/>
      <c r="AW42" s="271"/>
      <c r="AX42" s="271"/>
      <c r="AY42" s="271"/>
      <c r="AZ42" s="69"/>
      <c r="BA42" s="69"/>
      <c r="BB42" s="69"/>
      <c r="BC42" s="69"/>
      <c r="BD42" s="69"/>
      <c r="BE42" s="69"/>
      <c r="BF42" s="69"/>
      <c r="BG42" s="69"/>
      <c r="BH42" s="69"/>
      <c r="BI42" s="69"/>
      <c r="BJ42" s="69"/>
      <c r="BK42" s="69"/>
      <c r="BL42" s="69"/>
      <c r="BM42" s="69"/>
      <c r="BN42" s="69"/>
      <c r="BO42" s="69"/>
      <c r="BP42" s="69"/>
    </row>
    <row r="43" customFormat="false" ht="15" hidden="false" customHeight="false" outlineLevel="0" collapsed="false">
      <c r="A43" s="15" t="s">
        <v>980</v>
      </c>
      <c r="F43" s="6"/>
      <c r="G43" s="71"/>
      <c r="H43" s="28"/>
      <c r="L43" s="28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69"/>
      <c r="AK43" s="69"/>
      <c r="AL43" s="69"/>
      <c r="AM43" s="69"/>
      <c r="AN43" s="69"/>
      <c r="AO43" s="69"/>
      <c r="AP43" s="69"/>
      <c r="AQ43" s="69"/>
      <c r="AR43" s="69"/>
      <c r="AS43" s="69"/>
      <c r="AT43" s="69"/>
      <c r="AU43" s="69"/>
      <c r="AV43" s="69"/>
      <c r="AW43" s="69"/>
      <c r="AX43" s="69"/>
      <c r="AY43" s="69"/>
      <c r="AZ43" s="69"/>
      <c r="BA43" s="69"/>
      <c r="BB43" s="69"/>
      <c r="BC43" s="69"/>
      <c r="BD43" s="69"/>
      <c r="BE43" s="69"/>
      <c r="BF43" s="69"/>
      <c r="BG43" s="69"/>
      <c r="BH43" s="69"/>
      <c r="BI43" s="69"/>
      <c r="BJ43" s="69"/>
      <c r="BK43" s="69"/>
      <c r="BL43" s="69"/>
      <c r="BM43" s="69"/>
      <c r="BN43" s="69"/>
      <c r="BO43" s="69"/>
      <c r="BP43" s="69"/>
    </row>
    <row r="44" customFormat="false" ht="15" hidden="false" customHeight="true" outlineLevel="0" collapsed="false">
      <c r="A44" s="1" t="s">
        <v>983</v>
      </c>
      <c r="F44" s="1" t="s">
        <v>1389</v>
      </c>
      <c r="G44" s="71" t="n">
        <f aca="false">E44*$M$2</f>
        <v>0</v>
      </c>
      <c r="H44" s="28" t="n">
        <f aca="false">'APUS SANITARIAS'!J5</f>
        <v>193.333333333333</v>
      </c>
      <c r="I44" s="1" t="n">
        <f aca="false">G44*H44</f>
        <v>0</v>
      </c>
      <c r="O44" s="270"/>
      <c r="P44" s="270"/>
      <c r="Q44" s="270"/>
      <c r="R44" s="270"/>
      <c r="S44" s="271"/>
      <c r="T44" s="271"/>
      <c r="U44" s="271"/>
      <c r="V44" s="271"/>
      <c r="W44" s="272"/>
      <c r="X44" s="271"/>
      <c r="Y44" s="271"/>
      <c r="Z44" s="271"/>
      <c r="AA44" s="271"/>
      <c r="AB44" s="271"/>
      <c r="AC44" s="271"/>
      <c r="AD44" s="271"/>
      <c r="AE44" s="271"/>
      <c r="AF44" s="271"/>
      <c r="AG44" s="271"/>
      <c r="AH44" s="271"/>
      <c r="AI44" s="271"/>
      <c r="AJ44" s="271"/>
      <c r="AK44" s="271"/>
      <c r="AL44" s="272"/>
      <c r="AM44" s="271"/>
      <c r="AN44" s="271"/>
      <c r="AO44" s="271"/>
      <c r="AP44" s="271"/>
      <c r="AQ44" s="69"/>
      <c r="AR44" s="271"/>
      <c r="AS44" s="271"/>
      <c r="AT44" s="271"/>
      <c r="AU44" s="271"/>
      <c r="AV44" s="271"/>
      <c r="AW44" s="271"/>
      <c r="AX44" s="271"/>
      <c r="AY44" s="271"/>
      <c r="AZ44" s="69"/>
      <c r="BA44" s="69"/>
      <c r="BB44" s="69"/>
      <c r="BC44" s="69"/>
      <c r="BD44" s="69"/>
      <c r="BE44" s="69"/>
      <c r="BF44" s="69"/>
      <c r="BG44" s="69"/>
      <c r="BH44" s="69"/>
      <c r="BI44" s="69"/>
      <c r="BJ44" s="69"/>
      <c r="BK44" s="69"/>
      <c r="BL44" s="69"/>
      <c r="BM44" s="69"/>
      <c r="BN44" s="69"/>
      <c r="BO44" s="69"/>
      <c r="BP44" s="69"/>
    </row>
    <row r="45" customFormat="false" ht="15" hidden="false" customHeight="true" outlineLevel="0" collapsed="false">
      <c r="A45" s="1" t="s">
        <v>985</v>
      </c>
      <c r="F45" s="1" t="s">
        <v>1389</v>
      </c>
      <c r="G45" s="71" t="n">
        <f aca="false">E45*$M$2</f>
        <v>0</v>
      </c>
      <c r="H45" s="28" t="n">
        <f aca="false">'APUS SANITARIAS'!J12</f>
        <v>192.42</v>
      </c>
      <c r="I45" s="1" t="n">
        <f aca="false">G45*H45</f>
        <v>0</v>
      </c>
      <c r="O45" s="270"/>
      <c r="P45" s="270"/>
      <c r="Q45" s="270"/>
      <c r="R45" s="270"/>
      <c r="S45" s="271"/>
      <c r="T45" s="271"/>
      <c r="U45" s="271"/>
      <c r="V45" s="271"/>
      <c r="W45" s="272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2"/>
      <c r="AM45" s="271"/>
      <c r="AN45" s="271"/>
      <c r="AO45" s="271"/>
      <c r="AP45" s="271"/>
      <c r="AQ45" s="69"/>
      <c r="AR45" s="271"/>
      <c r="AS45" s="271"/>
      <c r="AT45" s="271"/>
      <c r="AU45" s="271"/>
      <c r="AV45" s="271"/>
      <c r="AW45" s="271"/>
      <c r="AX45" s="271"/>
      <c r="AY45" s="271"/>
      <c r="AZ45" s="69"/>
      <c r="BA45" s="69"/>
      <c r="BB45" s="69"/>
      <c r="BC45" s="69"/>
      <c r="BD45" s="69"/>
      <c r="BE45" s="69"/>
      <c r="BF45" s="69"/>
      <c r="BG45" s="69"/>
      <c r="BH45" s="69"/>
      <c r="BI45" s="69"/>
      <c r="BJ45" s="69"/>
      <c r="BK45" s="69"/>
      <c r="BL45" s="69"/>
      <c r="BM45" s="69"/>
      <c r="BN45" s="69"/>
      <c r="BO45" s="69"/>
      <c r="BP45" s="69"/>
    </row>
    <row r="46" customFormat="false" ht="15" hidden="false" customHeight="true" outlineLevel="0" collapsed="false">
      <c r="A46" s="1" t="s">
        <v>1021</v>
      </c>
      <c r="F46" s="1" t="s">
        <v>1389</v>
      </c>
      <c r="G46" s="71" t="n">
        <f aca="false">E46*$M$2</f>
        <v>0</v>
      </c>
      <c r="H46" s="28" t="n">
        <f aca="false">'APUS SANITARIAS'!J19</f>
        <v>67.5216666666667</v>
      </c>
      <c r="I46" s="1" t="n">
        <f aca="false">G46*H46</f>
        <v>0</v>
      </c>
      <c r="O46" s="270"/>
      <c r="P46" s="270"/>
      <c r="Q46" s="270"/>
      <c r="R46" s="270"/>
      <c r="S46" s="271"/>
      <c r="T46" s="271"/>
      <c r="U46" s="271"/>
      <c r="V46" s="271"/>
      <c r="W46" s="272"/>
      <c r="X46" s="271"/>
      <c r="Y46" s="271"/>
      <c r="Z46" s="271"/>
      <c r="AA46" s="271"/>
      <c r="AB46" s="271"/>
      <c r="AC46" s="271"/>
      <c r="AD46" s="271"/>
      <c r="AE46" s="271"/>
      <c r="AF46" s="271"/>
      <c r="AG46" s="271"/>
      <c r="AH46" s="271"/>
      <c r="AI46" s="271"/>
      <c r="AJ46" s="271"/>
      <c r="AK46" s="271"/>
      <c r="AL46" s="272"/>
      <c r="AM46" s="271"/>
      <c r="AN46" s="271"/>
      <c r="AO46" s="271"/>
      <c r="AP46" s="271"/>
      <c r="AQ46" s="69"/>
      <c r="AR46" s="271"/>
      <c r="AS46" s="271"/>
      <c r="AT46" s="271"/>
      <c r="AU46" s="271"/>
      <c r="AV46" s="271"/>
      <c r="AW46" s="271"/>
      <c r="AX46" s="271"/>
      <c r="AY46" s="271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</row>
    <row r="47" customFormat="false" ht="15" hidden="false" customHeight="true" outlineLevel="0" collapsed="false">
      <c r="A47" s="1" t="s">
        <v>989</v>
      </c>
      <c r="E47" s="270"/>
      <c r="F47" s="6" t="s">
        <v>155</v>
      </c>
      <c r="G47" s="71" t="n">
        <f aca="false">E47*$M$2</f>
        <v>0</v>
      </c>
      <c r="H47" s="28" t="n">
        <f aca="false">'APUS SANITARIAS'!J26</f>
        <v>750</v>
      </c>
      <c r="I47" s="1" t="n">
        <f aca="false">G47*H47</f>
        <v>0</v>
      </c>
      <c r="O47" s="270"/>
      <c r="P47" s="270"/>
      <c r="Q47" s="270"/>
      <c r="R47" s="270"/>
      <c r="S47" s="271"/>
      <c r="T47" s="271"/>
      <c r="U47" s="271"/>
      <c r="V47" s="271"/>
      <c r="W47" s="272"/>
      <c r="X47" s="271"/>
      <c r="Y47" s="271"/>
      <c r="Z47" s="271"/>
      <c r="AA47" s="271"/>
      <c r="AB47" s="271"/>
      <c r="AC47" s="271"/>
      <c r="AD47" s="271"/>
      <c r="AE47" s="271"/>
      <c r="AF47" s="271"/>
      <c r="AG47" s="271"/>
      <c r="AH47" s="271"/>
      <c r="AI47" s="271"/>
      <c r="AJ47" s="271"/>
      <c r="AK47" s="271"/>
      <c r="AL47" s="272"/>
      <c r="AM47" s="271"/>
      <c r="AN47" s="271"/>
      <c r="AO47" s="271"/>
      <c r="AP47" s="271"/>
      <c r="AQ47" s="69"/>
      <c r="AR47" s="271"/>
      <c r="AS47" s="271"/>
      <c r="AT47" s="271"/>
      <c r="AU47" s="271"/>
      <c r="AV47" s="271"/>
      <c r="AW47" s="271"/>
      <c r="AX47" s="271"/>
      <c r="AY47" s="271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</row>
    <row r="48" customFormat="false" ht="15" hidden="false" customHeight="false" outlineLevel="0" collapsed="false">
      <c r="A48" s="1" t="s">
        <v>1390</v>
      </c>
      <c r="E48" s="270"/>
      <c r="F48" s="6" t="s">
        <v>215</v>
      </c>
      <c r="G48" s="71" t="n">
        <f aca="false">E48*$M$2</f>
        <v>0</v>
      </c>
      <c r="H48" s="28" t="n">
        <f aca="false">'APUS SANITARIAS'!J32</f>
        <v>131.737813333333</v>
      </c>
      <c r="I48" s="1" t="n">
        <f aca="false">G48*H48</f>
        <v>0</v>
      </c>
      <c r="O48" s="270"/>
      <c r="P48" s="270"/>
      <c r="Q48" s="270"/>
      <c r="R48" s="270"/>
      <c r="S48" s="271"/>
      <c r="T48" s="271"/>
      <c r="U48" s="271"/>
      <c r="V48" s="271"/>
      <c r="W48" s="272"/>
      <c r="X48" s="271"/>
      <c r="Y48" s="271"/>
      <c r="Z48" s="271"/>
      <c r="AA48" s="271"/>
      <c r="AB48" s="271"/>
      <c r="AC48" s="271"/>
      <c r="AD48" s="271"/>
      <c r="AE48" s="271"/>
      <c r="AF48" s="271"/>
      <c r="AG48" s="271"/>
      <c r="AH48" s="271"/>
      <c r="AI48" s="271"/>
      <c r="AJ48" s="271"/>
      <c r="AK48" s="271"/>
      <c r="AL48" s="272"/>
      <c r="AM48" s="271"/>
      <c r="AN48" s="271"/>
      <c r="AO48" s="271"/>
      <c r="AP48" s="271"/>
      <c r="AQ48" s="69"/>
      <c r="AR48" s="271"/>
      <c r="AS48" s="271"/>
      <c r="AT48" s="271"/>
      <c r="AU48" s="271"/>
      <c r="AV48" s="271"/>
      <c r="AW48" s="271"/>
      <c r="AX48" s="271"/>
      <c r="AY48" s="271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</row>
    <row r="49" customFormat="false" ht="15" hidden="false" customHeight="false" outlineLevel="0" collapsed="false">
      <c r="A49" s="1" t="s">
        <v>1391</v>
      </c>
      <c r="E49" s="270"/>
      <c r="F49" s="6" t="s">
        <v>215</v>
      </c>
      <c r="G49" s="71" t="n">
        <f aca="false">E49*$M$2</f>
        <v>0</v>
      </c>
      <c r="H49" s="28" t="n">
        <f aca="false">'APUS SANITARIAS'!J50</f>
        <v>210.60376</v>
      </c>
      <c r="I49" s="1" t="n">
        <f aca="false">G49*H49</f>
        <v>0</v>
      </c>
      <c r="O49" s="270"/>
      <c r="P49" s="270"/>
      <c r="Q49" s="270"/>
      <c r="R49" s="270"/>
      <c r="S49" s="271"/>
      <c r="T49" s="271"/>
      <c r="U49" s="271"/>
      <c r="V49" s="271"/>
      <c r="W49" s="283"/>
      <c r="X49" s="271"/>
      <c r="Y49" s="271"/>
      <c r="Z49" s="271"/>
      <c r="AA49" s="271"/>
      <c r="AB49" s="271"/>
      <c r="AC49" s="271"/>
      <c r="AD49" s="271"/>
      <c r="AE49" s="271"/>
      <c r="AF49" s="271"/>
      <c r="AG49" s="271"/>
      <c r="AH49" s="271"/>
      <c r="AI49" s="271"/>
      <c r="AJ49" s="271"/>
      <c r="AK49" s="271"/>
      <c r="AL49" s="272"/>
      <c r="AM49" s="271"/>
      <c r="AN49" s="271"/>
      <c r="AO49" s="271"/>
      <c r="AP49" s="271"/>
      <c r="AQ49" s="69"/>
      <c r="AR49" s="271"/>
      <c r="AS49" s="271"/>
      <c r="AT49" s="271"/>
      <c r="AU49" s="271"/>
      <c r="AV49" s="271"/>
      <c r="AW49" s="271"/>
      <c r="AX49" s="271"/>
      <c r="AY49" s="271"/>
      <c r="AZ49" s="69"/>
      <c r="BA49" s="69"/>
      <c r="BB49" s="69"/>
      <c r="BC49" s="69"/>
      <c r="BD49" s="69"/>
      <c r="BE49" s="69"/>
      <c r="BF49" s="69"/>
      <c r="BG49" s="69"/>
      <c r="BH49" s="69"/>
      <c r="BI49" s="69"/>
      <c r="BJ49" s="69"/>
      <c r="BK49" s="69"/>
      <c r="BL49" s="69"/>
      <c r="BM49" s="69"/>
      <c r="BN49" s="69"/>
      <c r="BO49" s="69"/>
      <c r="BP49" s="69"/>
    </row>
    <row r="50" customFormat="false" ht="15" hidden="false" customHeight="false" outlineLevel="0" collapsed="false">
      <c r="A50" s="1" t="s">
        <v>997</v>
      </c>
      <c r="E50" s="270"/>
      <c r="F50" s="6" t="s">
        <v>155</v>
      </c>
      <c r="G50" s="71" t="n">
        <f aca="false">E50*$M$2</f>
        <v>0</v>
      </c>
      <c r="H50" s="28" t="n">
        <f aca="false">'APUS SANITARIAS'!J69</f>
        <v>200</v>
      </c>
      <c r="I50" s="1" t="n">
        <f aca="false">G50*H50</f>
        <v>0</v>
      </c>
      <c r="O50" s="270"/>
      <c r="P50" s="270"/>
      <c r="Q50" s="270"/>
      <c r="R50" s="270"/>
      <c r="S50" s="271"/>
      <c r="T50" s="271"/>
      <c r="U50" s="271"/>
      <c r="V50" s="271"/>
      <c r="W50" s="283"/>
      <c r="X50" s="271"/>
      <c r="Y50" s="271"/>
      <c r="Z50" s="271"/>
      <c r="AA50" s="271"/>
      <c r="AB50" s="271"/>
      <c r="AC50" s="271"/>
      <c r="AD50" s="271"/>
      <c r="AE50" s="271"/>
      <c r="AF50" s="271"/>
      <c r="AG50" s="271"/>
      <c r="AH50" s="271"/>
      <c r="AI50" s="271"/>
      <c r="AJ50" s="271"/>
      <c r="AK50" s="271"/>
      <c r="AL50" s="272"/>
      <c r="AM50" s="271"/>
      <c r="AN50" s="271"/>
      <c r="AO50" s="271"/>
      <c r="AP50" s="271"/>
      <c r="AQ50" s="69"/>
      <c r="AR50" s="271"/>
      <c r="AS50" s="271"/>
      <c r="AT50" s="271"/>
      <c r="AU50" s="271"/>
      <c r="AV50" s="271"/>
      <c r="AW50" s="271"/>
      <c r="AX50" s="271"/>
      <c r="AY50" s="271"/>
      <c r="AZ50" s="69"/>
      <c r="BA50" s="69"/>
      <c r="BB50" s="69"/>
      <c r="BC50" s="69"/>
      <c r="BD50" s="69"/>
      <c r="BE50" s="69"/>
      <c r="BF50" s="69"/>
      <c r="BG50" s="69"/>
      <c r="BH50" s="69"/>
      <c r="BI50" s="69"/>
      <c r="BJ50" s="69"/>
      <c r="BK50" s="69"/>
      <c r="BL50" s="69"/>
      <c r="BM50" s="69"/>
      <c r="BN50" s="69"/>
      <c r="BO50" s="69"/>
      <c r="BP50" s="69"/>
    </row>
    <row r="51" customFormat="false" ht="15" hidden="false" customHeight="false" outlineLevel="0" collapsed="false">
      <c r="A51" s="1" t="s">
        <v>998</v>
      </c>
      <c r="E51" s="270"/>
      <c r="F51" s="6" t="s">
        <v>155</v>
      </c>
      <c r="G51" s="71" t="n">
        <f aca="false">E51*$M$2</f>
        <v>0</v>
      </c>
      <c r="H51" s="28" t="n">
        <f aca="false">'APUS SANITARIAS'!J76</f>
        <v>537.217104</v>
      </c>
      <c r="I51" s="1" t="n">
        <f aca="false">G51*H51</f>
        <v>0</v>
      </c>
      <c r="O51" s="270"/>
      <c r="P51" s="270"/>
      <c r="Q51" s="270"/>
      <c r="R51" s="270"/>
      <c r="S51" s="271"/>
      <c r="T51" s="271"/>
      <c r="U51" s="271"/>
      <c r="V51" s="271"/>
      <c r="W51" s="283"/>
      <c r="X51" s="271"/>
      <c r="Y51" s="271"/>
      <c r="Z51" s="271"/>
      <c r="AA51" s="271"/>
      <c r="AB51" s="271"/>
      <c r="AC51" s="271"/>
      <c r="AD51" s="271"/>
      <c r="AE51" s="271"/>
      <c r="AF51" s="271"/>
      <c r="AG51" s="271"/>
      <c r="AH51" s="271"/>
      <c r="AI51" s="271"/>
      <c r="AJ51" s="271"/>
      <c r="AK51" s="271"/>
      <c r="AL51" s="272"/>
      <c r="AM51" s="271"/>
      <c r="AN51" s="271"/>
      <c r="AO51" s="271"/>
      <c r="AP51" s="271"/>
      <c r="AQ51" s="69"/>
      <c r="AR51" s="271"/>
      <c r="AS51" s="271"/>
      <c r="AT51" s="271"/>
      <c r="AU51" s="271"/>
      <c r="AV51" s="271"/>
      <c r="AW51" s="271"/>
      <c r="AX51" s="271"/>
      <c r="AY51" s="271"/>
      <c r="AZ51" s="69"/>
      <c r="BA51" s="69"/>
      <c r="BB51" s="69"/>
      <c r="BC51" s="69"/>
      <c r="BD51" s="69"/>
      <c r="BE51" s="69"/>
      <c r="BF51" s="69"/>
      <c r="BG51" s="69"/>
      <c r="BH51" s="69"/>
      <c r="BI51" s="69"/>
      <c r="BJ51" s="69"/>
      <c r="BK51" s="69"/>
      <c r="BL51" s="69"/>
      <c r="BM51" s="69"/>
      <c r="BN51" s="69"/>
      <c r="BO51" s="69"/>
      <c r="BP51" s="69"/>
    </row>
    <row r="52" customFormat="false" ht="15" hidden="false" customHeight="false" outlineLevel="0" collapsed="false">
      <c r="A52" s="1" t="s">
        <v>1002</v>
      </c>
      <c r="E52" s="270"/>
      <c r="F52" s="6" t="s">
        <v>215</v>
      </c>
      <c r="G52" s="71" t="n">
        <f aca="false">E52*$M$2</f>
        <v>0</v>
      </c>
      <c r="H52" s="28" t="n">
        <f aca="false">'APUS SANITARIAS'!J91</f>
        <v>158.148033208747</v>
      </c>
      <c r="I52" s="1" t="n">
        <f aca="false">G52*H52</f>
        <v>0</v>
      </c>
      <c r="O52" s="270"/>
      <c r="P52" s="270"/>
      <c r="Q52" s="270"/>
      <c r="R52" s="270"/>
      <c r="S52" s="271"/>
      <c r="T52" s="271"/>
      <c r="U52" s="271"/>
      <c r="V52" s="271"/>
      <c r="W52" s="271"/>
      <c r="X52" s="271"/>
      <c r="Y52" s="271"/>
      <c r="Z52" s="271"/>
      <c r="AA52" s="271"/>
      <c r="AB52" s="271"/>
      <c r="AC52" s="271"/>
      <c r="AD52" s="271"/>
      <c r="AE52" s="271"/>
      <c r="AF52" s="271"/>
      <c r="AG52" s="271"/>
      <c r="AH52" s="271"/>
      <c r="AI52" s="271"/>
      <c r="AJ52" s="271"/>
      <c r="AK52" s="271"/>
      <c r="AL52" s="271"/>
      <c r="AM52" s="271"/>
      <c r="AN52" s="271"/>
      <c r="AO52" s="271"/>
      <c r="AP52" s="271"/>
      <c r="AQ52" s="69"/>
      <c r="AR52" s="271"/>
      <c r="AS52" s="271"/>
      <c r="AT52" s="271"/>
      <c r="AU52" s="271"/>
      <c r="AV52" s="271"/>
      <c r="AW52" s="271"/>
      <c r="AX52" s="271"/>
      <c r="AY52" s="271"/>
      <c r="AZ52" s="69"/>
      <c r="BA52" s="69"/>
      <c r="BB52" s="69"/>
      <c r="BC52" s="69"/>
      <c r="BD52" s="69"/>
      <c r="BE52" s="69"/>
      <c r="BF52" s="69"/>
      <c r="BG52" s="69"/>
      <c r="BH52" s="69"/>
      <c r="BI52" s="69"/>
      <c r="BJ52" s="69"/>
      <c r="BK52" s="69"/>
      <c r="BL52" s="69"/>
      <c r="BM52" s="69"/>
      <c r="BN52" s="69"/>
      <c r="BO52" s="69"/>
      <c r="BP52" s="69"/>
    </row>
    <row r="53" customFormat="false" ht="15" hidden="false" customHeight="false" outlineLevel="0" collapsed="false">
      <c r="A53" s="1" t="s">
        <v>1005</v>
      </c>
      <c r="E53" s="270"/>
      <c r="F53" s="6" t="s">
        <v>215</v>
      </c>
      <c r="G53" s="71" t="n">
        <f aca="false">E53*$M$2</f>
        <v>0</v>
      </c>
      <c r="H53" s="28" t="n">
        <f aca="false">'APUS SANITARIAS'!J108</f>
        <v>138.64528</v>
      </c>
      <c r="I53" s="1" t="n">
        <f aca="false">G53*H53</f>
        <v>0</v>
      </c>
      <c r="O53" s="270"/>
      <c r="P53" s="270"/>
      <c r="Q53" s="270"/>
      <c r="R53" s="270"/>
      <c r="S53" s="271"/>
      <c r="T53" s="271"/>
      <c r="U53" s="271"/>
      <c r="V53" s="271"/>
      <c r="W53" s="272"/>
      <c r="X53" s="271"/>
      <c r="Y53" s="271"/>
      <c r="Z53" s="271"/>
      <c r="AA53" s="271"/>
      <c r="AB53" s="271"/>
      <c r="AC53" s="271"/>
      <c r="AD53" s="271"/>
      <c r="AE53" s="271"/>
      <c r="AF53" s="271"/>
      <c r="AG53" s="271"/>
      <c r="AH53" s="271"/>
      <c r="AI53" s="271"/>
      <c r="AJ53" s="271"/>
      <c r="AK53" s="271"/>
      <c r="AL53" s="272"/>
      <c r="AM53" s="271"/>
      <c r="AN53" s="271"/>
      <c r="AO53" s="271"/>
      <c r="AP53" s="271"/>
      <c r="AQ53" s="69"/>
      <c r="AR53" s="271"/>
      <c r="AS53" s="271"/>
      <c r="AT53" s="271"/>
      <c r="AU53" s="271"/>
      <c r="AV53" s="271"/>
      <c r="AW53" s="271"/>
      <c r="AX53" s="271"/>
      <c r="AY53" s="271"/>
      <c r="AZ53" s="69"/>
      <c r="BA53" s="69"/>
      <c r="BB53" s="69"/>
      <c r="BC53" s="69"/>
      <c r="BD53" s="69"/>
      <c r="BE53" s="69"/>
      <c r="BF53" s="69"/>
      <c r="BG53" s="69"/>
      <c r="BH53" s="69"/>
      <c r="BI53" s="69"/>
      <c r="BJ53" s="69"/>
      <c r="BK53" s="69"/>
      <c r="BL53" s="69"/>
      <c r="BM53" s="69"/>
      <c r="BN53" s="69"/>
      <c r="BO53" s="69"/>
      <c r="BP53" s="69"/>
    </row>
    <row r="54" customFormat="false" ht="15" hidden="false" customHeight="false" outlineLevel="0" collapsed="false">
      <c r="A54" s="1" t="s">
        <v>1007</v>
      </c>
      <c r="E54" s="270"/>
      <c r="F54" s="6" t="s">
        <v>215</v>
      </c>
      <c r="G54" s="71" t="n">
        <f aca="false">E54*$M$2</f>
        <v>0</v>
      </c>
      <c r="H54" s="28" t="n">
        <f aca="false">'APUS SANITARIAS'!J127</f>
        <v>145.93578</v>
      </c>
      <c r="I54" s="1" t="n">
        <f aca="false">G54*H54</f>
        <v>0</v>
      </c>
      <c r="O54" s="270"/>
      <c r="P54" s="270"/>
      <c r="Q54" s="270"/>
      <c r="R54" s="270"/>
      <c r="S54" s="271"/>
      <c r="T54" s="271"/>
      <c r="U54" s="271"/>
      <c r="V54" s="271"/>
      <c r="W54" s="272"/>
      <c r="X54" s="271"/>
      <c r="Y54" s="271"/>
      <c r="Z54" s="271"/>
      <c r="AA54" s="271"/>
      <c r="AB54" s="271"/>
      <c r="AC54" s="271"/>
      <c r="AD54" s="271"/>
      <c r="AE54" s="271"/>
      <c r="AF54" s="271"/>
      <c r="AG54" s="271"/>
      <c r="AH54" s="271"/>
      <c r="AI54" s="271"/>
      <c r="AJ54" s="271"/>
      <c r="AK54" s="271"/>
      <c r="AL54" s="272"/>
      <c r="AM54" s="271"/>
      <c r="AN54" s="271"/>
      <c r="AO54" s="271"/>
      <c r="AP54" s="271"/>
      <c r="AQ54" s="69"/>
      <c r="AR54" s="271"/>
      <c r="AS54" s="271"/>
      <c r="AT54" s="271"/>
      <c r="AU54" s="271"/>
      <c r="AV54" s="271"/>
      <c r="AW54" s="271"/>
      <c r="AX54" s="271"/>
      <c r="AY54" s="271"/>
      <c r="AZ54" s="69"/>
      <c r="BA54" s="69"/>
      <c r="BB54" s="69"/>
      <c r="BC54" s="69"/>
      <c r="BD54" s="69"/>
      <c r="BE54" s="69"/>
      <c r="BF54" s="69"/>
      <c r="BG54" s="69"/>
      <c r="BH54" s="69"/>
      <c r="BI54" s="69"/>
      <c r="BJ54" s="69"/>
      <c r="BK54" s="69"/>
      <c r="BL54" s="69"/>
      <c r="BM54" s="69"/>
      <c r="BN54" s="69"/>
      <c r="BO54" s="69"/>
      <c r="BP54" s="69"/>
    </row>
    <row r="55" customFormat="false" ht="15" hidden="false" customHeight="false" outlineLevel="0" collapsed="false">
      <c r="A55" s="1" t="s">
        <v>1010</v>
      </c>
      <c r="E55" s="270"/>
      <c r="F55" s="6" t="s">
        <v>215</v>
      </c>
      <c r="G55" s="71" t="n">
        <f aca="false">E55*$M$2</f>
        <v>0</v>
      </c>
      <c r="H55" s="28" t="n">
        <f aca="false">'APUS SANITARIAS'!J145</f>
        <v>141.07118</v>
      </c>
      <c r="I55" s="1" t="n">
        <f aca="false">G55*H55</f>
        <v>0</v>
      </c>
      <c r="O55" s="270"/>
      <c r="P55" s="270"/>
      <c r="Q55" s="270"/>
      <c r="R55" s="270"/>
      <c r="S55" s="271"/>
      <c r="T55" s="271"/>
      <c r="U55" s="271"/>
      <c r="V55" s="271"/>
      <c r="W55" s="272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2"/>
      <c r="AM55" s="271"/>
      <c r="AN55" s="271"/>
      <c r="AO55" s="271"/>
      <c r="AP55" s="271"/>
      <c r="AQ55" s="69"/>
      <c r="AR55" s="271"/>
      <c r="AS55" s="271"/>
      <c r="AT55" s="271"/>
      <c r="AU55" s="271"/>
      <c r="AV55" s="271"/>
      <c r="AW55" s="271"/>
      <c r="AX55" s="271"/>
      <c r="AY55" s="271"/>
      <c r="AZ55" s="69"/>
      <c r="BA55" s="69"/>
      <c r="BB55" s="69"/>
      <c r="BC55" s="69"/>
      <c r="BD55" s="69"/>
      <c r="BE55" s="69"/>
      <c r="BF55" s="69"/>
      <c r="BG55" s="69"/>
      <c r="BH55" s="69"/>
      <c r="BI55" s="69"/>
      <c r="BJ55" s="69"/>
      <c r="BK55" s="69"/>
      <c r="BL55" s="69"/>
      <c r="BM55" s="69"/>
      <c r="BN55" s="69"/>
      <c r="BO55" s="69"/>
      <c r="BP55" s="69"/>
    </row>
    <row r="56" customFormat="false" ht="15" hidden="false" customHeight="false" outlineLevel="0" collapsed="false">
      <c r="A56" s="1" t="s">
        <v>1013</v>
      </c>
      <c r="E56" s="270"/>
      <c r="F56" s="6" t="s">
        <v>150</v>
      </c>
      <c r="G56" s="71" t="n">
        <f aca="false">E56*$M$2</f>
        <v>0</v>
      </c>
      <c r="H56" s="28" t="n">
        <f aca="false">'APUS SANITARIAS'!J163</f>
        <v>214.33092</v>
      </c>
      <c r="I56" s="1" t="n">
        <f aca="false">G56*H56</f>
        <v>0</v>
      </c>
      <c r="O56" s="270"/>
      <c r="P56" s="270"/>
      <c r="Q56" s="270"/>
      <c r="R56" s="270"/>
      <c r="S56" s="271"/>
      <c r="T56" s="271"/>
      <c r="U56" s="271"/>
      <c r="V56" s="271"/>
      <c r="W56" s="272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2"/>
      <c r="AM56" s="271"/>
      <c r="AN56" s="271"/>
      <c r="AO56" s="271"/>
      <c r="AP56" s="271"/>
      <c r="AQ56" s="69"/>
      <c r="AR56" s="271"/>
      <c r="AS56" s="271"/>
      <c r="AT56" s="271"/>
      <c r="AU56" s="271"/>
      <c r="AV56" s="271"/>
      <c r="AW56" s="271"/>
      <c r="AX56" s="271"/>
      <c r="AY56" s="271"/>
      <c r="AZ56" s="69"/>
      <c r="BA56" s="69"/>
      <c r="BB56" s="69"/>
      <c r="BC56" s="69"/>
      <c r="BD56" s="69"/>
      <c r="BE56" s="69"/>
      <c r="BF56" s="69"/>
      <c r="BG56" s="69"/>
      <c r="BH56" s="69"/>
      <c r="BI56" s="69"/>
      <c r="BJ56" s="69"/>
      <c r="BK56" s="69"/>
      <c r="BL56" s="69"/>
      <c r="BM56" s="69"/>
      <c r="BN56" s="69"/>
      <c r="BO56" s="69"/>
      <c r="BP56" s="69"/>
    </row>
    <row r="57" customFormat="false" ht="15" hidden="false" customHeight="false" outlineLevel="0" collapsed="false">
      <c r="A57" s="1" t="s">
        <v>1015</v>
      </c>
      <c r="E57" s="270"/>
      <c r="F57" s="6" t="s">
        <v>150</v>
      </c>
      <c r="G57" s="71" t="n">
        <f aca="false">E57*$M$2</f>
        <v>0</v>
      </c>
      <c r="H57" s="28" t="n">
        <f aca="false">'APUS SANITARIAS'!J178</f>
        <v>101.513743136387</v>
      </c>
      <c r="I57" s="1" t="n">
        <f aca="false">G57*H57</f>
        <v>0</v>
      </c>
      <c r="O57" s="270"/>
      <c r="P57" s="270"/>
      <c r="Q57" s="270"/>
      <c r="R57" s="270"/>
      <c r="S57" s="271"/>
      <c r="T57" s="271"/>
      <c r="U57" s="271"/>
      <c r="V57" s="271"/>
      <c r="W57" s="272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2"/>
      <c r="AM57" s="271"/>
      <c r="AN57" s="271"/>
      <c r="AO57" s="271"/>
      <c r="AP57" s="271"/>
      <c r="AQ57" s="69"/>
      <c r="AR57" s="271"/>
      <c r="AS57" s="271"/>
      <c r="AT57" s="271"/>
      <c r="AU57" s="271"/>
      <c r="AV57" s="271"/>
      <c r="AW57" s="271"/>
      <c r="AX57" s="271"/>
      <c r="AY57" s="271"/>
      <c r="AZ57" s="69"/>
      <c r="BA57" s="69"/>
      <c r="BB57" s="69"/>
      <c r="BC57" s="69"/>
      <c r="BD57" s="69"/>
      <c r="BE57" s="69"/>
      <c r="BF57" s="69"/>
      <c r="BG57" s="69"/>
      <c r="BH57" s="69"/>
      <c r="BI57" s="69"/>
      <c r="BJ57" s="69"/>
      <c r="BK57" s="69"/>
      <c r="BL57" s="69"/>
      <c r="BM57" s="69"/>
      <c r="BN57" s="69"/>
      <c r="BO57" s="69"/>
      <c r="BP57" s="69"/>
    </row>
    <row r="58" customFormat="false" ht="15" hidden="false" customHeight="false" outlineLevel="0" collapsed="false">
      <c r="A58" s="15" t="s">
        <v>1050</v>
      </c>
      <c r="F58" s="6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69"/>
      <c r="AK58" s="69"/>
      <c r="AL58" s="69"/>
      <c r="AM58" s="69"/>
      <c r="AN58" s="69"/>
      <c r="AO58" s="69"/>
      <c r="AP58" s="69"/>
      <c r="AQ58" s="69"/>
      <c r="AR58" s="69"/>
      <c r="AS58" s="69"/>
      <c r="AT58" s="69"/>
      <c r="AU58" s="69"/>
      <c r="AV58" s="69"/>
      <c r="AW58" s="69"/>
      <c r="AX58" s="69"/>
      <c r="AY58" s="69"/>
      <c r="AZ58" s="69"/>
      <c r="BA58" s="69"/>
      <c r="BB58" s="69"/>
      <c r="BC58" s="69"/>
      <c r="BD58" s="69"/>
      <c r="BE58" s="69"/>
      <c r="BF58" s="69"/>
      <c r="BG58" s="69"/>
      <c r="BH58" s="69"/>
      <c r="BI58" s="69"/>
      <c r="BJ58" s="69"/>
      <c r="BK58" s="69"/>
      <c r="BL58" s="69"/>
      <c r="BM58" s="69"/>
      <c r="BN58" s="69"/>
      <c r="BO58" s="69"/>
      <c r="BP58" s="69"/>
    </row>
    <row r="59" customFormat="false" ht="15" hidden="false" customHeight="false" outlineLevel="0" collapsed="false">
      <c r="A59" s="1" t="s">
        <v>1053</v>
      </c>
      <c r="E59" s="270" t="n">
        <v>0.09</v>
      </c>
      <c r="F59" s="6" t="s">
        <v>215</v>
      </c>
      <c r="G59" s="71" t="n">
        <f aca="false">E59*$M$2</f>
        <v>0</v>
      </c>
      <c r="H59" s="28" t="n">
        <f aca="false">'APUS ELECTRICAS'!J5</f>
        <v>121.043104</v>
      </c>
      <c r="I59" s="1" t="n">
        <f aca="false">G59*H59</f>
        <v>0</v>
      </c>
      <c r="O59" s="270"/>
      <c r="P59" s="270"/>
      <c r="Q59" s="270"/>
      <c r="R59" s="270"/>
      <c r="S59" s="271"/>
      <c r="T59" s="271"/>
      <c r="U59" s="271"/>
      <c r="V59" s="271"/>
      <c r="W59" s="272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2"/>
      <c r="AM59" s="271"/>
      <c r="AN59" s="271"/>
      <c r="AO59" s="271"/>
      <c r="AP59" s="271"/>
      <c r="AQ59" s="69"/>
      <c r="AR59" s="271"/>
      <c r="AS59" s="271"/>
      <c r="AT59" s="271"/>
      <c r="AU59" s="271"/>
      <c r="AV59" s="271"/>
      <c r="AW59" s="271"/>
      <c r="AX59" s="271"/>
      <c r="AY59" s="271"/>
      <c r="AZ59" s="69"/>
      <c r="BA59" s="69"/>
      <c r="BB59" s="69"/>
      <c r="BC59" s="69"/>
      <c r="BD59" s="69"/>
      <c r="BE59" s="69"/>
      <c r="BF59" s="69"/>
      <c r="BG59" s="69"/>
      <c r="BH59" s="69"/>
      <c r="BI59" s="69"/>
      <c r="BJ59" s="69"/>
      <c r="BK59" s="69"/>
      <c r="BL59" s="69"/>
      <c r="BM59" s="69"/>
      <c r="BN59" s="69"/>
      <c r="BO59" s="69"/>
      <c r="BP59" s="69"/>
    </row>
    <row r="60" customFormat="false" ht="15" hidden="false" customHeight="false" outlineLevel="0" collapsed="false">
      <c r="A60" s="1" t="s">
        <v>1055</v>
      </c>
      <c r="E60" s="270" t="n">
        <v>0.09</v>
      </c>
      <c r="F60" s="6" t="s">
        <v>215</v>
      </c>
      <c r="G60" s="71" t="n">
        <f aca="false">E60*$M$2</f>
        <v>0</v>
      </c>
      <c r="H60" s="28" t="n">
        <f aca="false">'APUS ELECTRICAS'!J26</f>
        <v>163.73838</v>
      </c>
      <c r="I60" s="1" t="n">
        <f aca="false">G60*H60</f>
        <v>0</v>
      </c>
      <c r="O60" s="270"/>
      <c r="P60" s="270"/>
      <c r="Q60" s="270"/>
      <c r="R60" s="270"/>
      <c r="S60" s="271"/>
      <c r="T60" s="271"/>
      <c r="U60" s="271"/>
      <c r="V60" s="271"/>
      <c r="W60" s="272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2"/>
      <c r="AM60" s="271"/>
      <c r="AN60" s="271"/>
      <c r="AO60" s="271"/>
      <c r="AP60" s="271"/>
      <c r="AQ60" s="69"/>
      <c r="AR60" s="271"/>
      <c r="AS60" s="271"/>
      <c r="AT60" s="271"/>
      <c r="AU60" s="271"/>
      <c r="AV60" s="271"/>
      <c r="AW60" s="271"/>
      <c r="AX60" s="271"/>
      <c r="AY60" s="271"/>
      <c r="AZ60" s="69"/>
      <c r="BA60" s="69"/>
      <c r="BB60" s="69"/>
      <c r="BC60" s="69"/>
      <c r="BD60" s="69"/>
      <c r="BE60" s="69"/>
      <c r="BF60" s="69"/>
      <c r="BG60" s="69"/>
      <c r="BH60" s="69"/>
      <c r="BI60" s="69"/>
      <c r="BJ60" s="69"/>
      <c r="BK60" s="69"/>
      <c r="BL60" s="69"/>
      <c r="BM60" s="69"/>
      <c r="BN60" s="69"/>
      <c r="BO60" s="69"/>
      <c r="BP60" s="69"/>
    </row>
    <row r="61" customFormat="false" ht="15" hidden="false" customHeight="false" outlineLevel="0" collapsed="false">
      <c r="A61" s="1" t="s">
        <v>1057</v>
      </c>
      <c r="E61" s="270" t="n">
        <v>0.09</v>
      </c>
      <c r="F61" s="6" t="s">
        <v>215</v>
      </c>
      <c r="G61" s="71" t="n">
        <f aca="false">E61*$M$2</f>
        <v>0</v>
      </c>
      <c r="H61" s="28" t="n">
        <f aca="false">'APUS ELECTRICAS'!J48</f>
        <v>118.3069</v>
      </c>
      <c r="I61" s="1" t="n">
        <f aca="false">G61*H61</f>
        <v>0</v>
      </c>
      <c r="O61" s="270"/>
      <c r="P61" s="270"/>
      <c r="Q61" s="270"/>
      <c r="R61" s="270"/>
      <c r="S61" s="271"/>
      <c r="T61" s="271"/>
      <c r="U61" s="271"/>
      <c r="V61" s="271"/>
      <c r="W61" s="272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2"/>
      <c r="AM61" s="271"/>
      <c r="AN61" s="271"/>
      <c r="AO61" s="271"/>
      <c r="AP61" s="271"/>
      <c r="AQ61" s="69"/>
      <c r="AR61" s="271"/>
      <c r="AS61" s="271"/>
      <c r="AT61" s="271"/>
      <c r="AU61" s="271"/>
      <c r="AV61" s="271"/>
      <c r="AW61" s="271"/>
      <c r="AX61" s="271"/>
      <c r="AY61" s="271"/>
      <c r="AZ61" s="69"/>
      <c r="BA61" s="69"/>
      <c r="BB61" s="69"/>
      <c r="BC61" s="69"/>
      <c r="BD61" s="69"/>
      <c r="BE61" s="69"/>
      <c r="BF61" s="69"/>
      <c r="BG61" s="69"/>
      <c r="BH61" s="69"/>
      <c r="BI61" s="69"/>
      <c r="BJ61" s="69"/>
      <c r="BK61" s="69"/>
      <c r="BL61" s="69"/>
      <c r="BM61" s="69"/>
      <c r="BN61" s="69"/>
      <c r="BO61" s="69"/>
      <c r="BP61" s="69"/>
    </row>
    <row r="62" customFormat="false" ht="15" hidden="false" customHeight="false" outlineLevel="0" collapsed="false">
      <c r="A62" s="1" t="s">
        <v>1059</v>
      </c>
      <c r="E62" s="270"/>
      <c r="F62" s="6" t="s">
        <v>215</v>
      </c>
      <c r="G62" s="71" t="n">
        <f aca="false">E62*$M$2</f>
        <v>0</v>
      </c>
      <c r="H62" s="28" t="n">
        <f aca="false">'APUS ELECTRICAS'!J66</f>
        <v>7.34</v>
      </c>
      <c r="I62" s="1" t="n">
        <f aca="false">G62*H62</f>
        <v>0</v>
      </c>
      <c r="O62" s="270"/>
      <c r="P62" s="270"/>
      <c r="Q62" s="270"/>
      <c r="R62" s="270"/>
      <c r="S62" s="271"/>
      <c r="T62" s="271"/>
      <c r="U62" s="271"/>
      <c r="V62" s="271"/>
      <c r="W62" s="272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2"/>
      <c r="AM62" s="271"/>
      <c r="AN62" s="271"/>
      <c r="AO62" s="271"/>
      <c r="AP62" s="271"/>
      <c r="AQ62" s="69"/>
      <c r="AR62" s="271"/>
      <c r="AS62" s="271"/>
      <c r="AT62" s="271"/>
      <c r="AU62" s="271"/>
      <c r="AV62" s="271"/>
      <c r="AW62" s="271"/>
      <c r="AX62" s="271"/>
      <c r="AY62" s="271"/>
      <c r="AZ62" s="69"/>
      <c r="BA62" s="69"/>
      <c r="BB62" s="69"/>
      <c r="BC62" s="69"/>
      <c r="BD62" s="69"/>
      <c r="BE62" s="69"/>
      <c r="BF62" s="69"/>
      <c r="BG62" s="69"/>
      <c r="BH62" s="69"/>
      <c r="BI62" s="69"/>
      <c r="BJ62" s="69"/>
      <c r="BK62" s="69"/>
      <c r="BL62" s="69"/>
      <c r="BM62" s="69"/>
      <c r="BN62" s="69"/>
      <c r="BO62" s="69"/>
      <c r="BP62" s="69"/>
    </row>
    <row r="63" customFormat="false" ht="15" hidden="false" customHeight="false" outlineLevel="0" collapsed="false">
      <c r="A63" s="15" t="s">
        <v>1060</v>
      </c>
      <c r="F63" s="6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69"/>
      <c r="AK63" s="69"/>
      <c r="AL63" s="69"/>
      <c r="AM63" s="69"/>
      <c r="AN63" s="69"/>
      <c r="AO63" s="69"/>
      <c r="AP63" s="69"/>
      <c r="AQ63" s="69"/>
      <c r="AR63" s="69"/>
      <c r="AS63" s="69"/>
      <c r="AT63" s="69"/>
      <c r="AU63" s="69"/>
      <c r="AV63" s="69"/>
      <c r="AW63" s="69"/>
      <c r="AX63" s="69"/>
      <c r="AY63" s="69"/>
      <c r="AZ63" s="69"/>
      <c r="BA63" s="69"/>
      <c r="BB63" s="69"/>
      <c r="BC63" s="69"/>
      <c r="BD63" s="69"/>
      <c r="BE63" s="69"/>
      <c r="BF63" s="69"/>
      <c r="BG63" s="69"/>
      <c r="BH63" s="69"/>
      <c r="BI63" s="69"/>
      <c r="BJ63" s="69"/>
      <c r="BK63" s="69"/>
      <c r="BL63" s="69"/>
      <c r="BM63" s="69"/>
      <c r="BN63" s="69"/>
      <c r="BO63" s="69"/>
      <c r="BP63" s="69"/>
    </row>
    <row r="64" customFormat="false" ht="15" hidden="false" customHeight="false" outlineLevel="0" collapsed="false">
      <c r="A64" s="1" t="s">
        <v>1062</v>
      </c>
      <c r="E64" s="270" t="n">
        <v>0.09</v>
      </c>
      <c r="F64" s="6" t="s">
        <v>150</v>
      </c>
      <c r="G64" s="71" t="n">
        <f aca="false">E64*$M$2</f>
        <v>0</v>
      </c>
      <c r="H64" s="28" t="n">
        <f aca="false">'APUS ELECTRICAS'!J74</f>
        <v>396.145032</v>
      </c>
      <c r="I64" s="1" t="n">
        <f aca="false">G64*H64</f>
        <v>0</v>
      </c>
      <c r="O64" s="270"/>
      <c r="P64" s="270"/>
      <c r="Q64" s="270"/>
      <c r="R64" s="270"/>
      <c r="S64" s="271"/>
      <c r="T64" s="271"/>
      <c r="U64" s="271"/>
      <c r="V64" s="271"/>
      <c r="W64" s="272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2"/>
      <c r="AM64" s="271"/>
      <c r="AN64" s="271"/>
      <c r="AO64" s="271"/>
      <c r="AP64" s="271"/>
      <c r="AQ64" s="69"/>
      <c r="AR64" s="271"/>
      <c r="AS64" s="271"/>
      <c r="AT64" s="271"/>
      <c r="AU64" s="271"/>
      <c r="AV64" s="271"/>
      <c r="AW64" s="271"/>
      <c r="AX64" s="271"/>
      <c r="AY64" s="271"/>
      <c r="AZ64" s="69"/>
      <c r="BA64" s="69"/>
      <c r="BB64" s="69"/>
      <c r="BC64" s="69"/>
      <c r="BD64" s="69"/>
      <c r="BE64" s="69"/>
      <c r="BF64" s="69"/>
      <c r="BG64" s="69"/>
      <c r="BH64" s="69"/>
      <c r="BI64" s="69"/>
      <c r="BJ64" s="69"/>
      <c r="BK64" s="69"/>
      <c r="BL64" s="69"/>
      <c r="BM64" s="69"/>
      <c r="BN64" s="69"/>
      <c r="BO64" s="69"/>
      <c r="BP64" s="69"/>
    </row>
    <row r="65" customFormat="false" ht="15" hidden="false" customHeight="false" outlineLevel="0" collapsed="false">
      <c r="A65" s="1" t="s">
        <v>1064</v>
      </c>
      <c r="E65" s="270" t="n">
        <v>0.09</v>
      </c>
      <c r="F65" s="6" t="s">
        <v>150</v>
      </c>
      <c r="G65" s="71" t="n">
        <f aca="false">E65*$M$2</f>
        <v>0</v>
      </c>
      <c r="H65" s="28" t="n">
        <f aca="false">'APUS ELECTRICAS'!J88</f>
        <v>105.9636</v>
      </c>
      <c r="I65" s="1" t="n">
        <f aca="false">G65*H65</f>
        <v>0</v>
      </c>
      <c r="O65" s="270"/>
      <c r="P65" s="270"/>
      <c r="Q65" s="270"/>
      <c r="R65" s="270"/>
      <c r="S65" s="271"/>
      <c r="T65" s="271"/>
      <c r="U65" s="271"/>
      <c r="V65" s="271"/>
      <c r="W65" s="272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2"/>
      <c r="AM65" s="271"/>
      <c r="AN65" s="271"/>
      <c r="AO65" s="271"/>
      <c r="AP65" s="271"/>
      <c r="AQ65" s="69"/>
      <c r="AR65" s="271"/>
      <c r="AS65" s="271"/>
      <c r="AT65" s="271"/>
      <c r="AU65" s="271"/>
      <c r="AV65" s="271"/>
      <c r="AW65" s="271"/>
      <c r="AX65" s="271"/>
      <c r="AY65" s="271"/>
      <c r="AZ65" s="69"/>
      <c r="BA65" s="69"/>
      <c r="BB65" s="69"/>
      <c r="BC65" s="69"/>
      <c r="BD65" s="69"/>
      <c r="BE65" s="69"/>
      <c r="BF65" s="69"/>
      <c r="BG65" s="69"/>
      <c r="BH65" s="69"/>
      <c r="BI65" s="69"/>
      <c r="BJ65" s="69"/>
      <c r="BK65" s="69"/>
      <c r="BL65" s="69"/>
      <c r="BM65" s="69"/>
      <c r="BN65" s="69"/>
      <c r="BO65" s="69"/>
      <c r="BP65" s="69"/>
    </row>
    <row r="66" customFormat="false" ht="15" hidden="false" customHeight="false" outlineLevel="0" collapsed="false">
      <c r="A66" s="1" t="s">
        <v>1066</v>
      </c>
      <c r="E66" s="270"/>
      <c r="F66" s="6" t="s">
        <v>150</v>
      </c>
      <c r="G66" s="71" t="n">
        <f aca="false">E66*$M$2</f>
        <v>0</v>
      </c>
      <c r="H66" s="28" t="n">
        <f aca="false">'APUS ELECTRICAS'!J106</f>
        <v>143.11</v>
      </c>
      <c r="I66" s="1" t="n">
        <f aca="false">G66*H66</f>
        <v>0</v>
      </c>
      <c r="O66" s="270"/>
      <c r="P66" s="270"/>
      <c r="Q66" s="270"/>
      <c r="R66" s="270"/>
      <c r="S66" s="271"/>
      <c r="T66" s="271"/>
      <c r="U66" s="271"/>
      <c r="V66" s="271"/>
      <c r="W66" s="272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2"/>
      <c r="AM66" s="271"/>
      <c r="AN66" s="271"/>
      <c r="AO66" s="271"/>
      <c r="AP66" s="271"/>
      <c r="AQ66" s="69"/>
      <c r="AR66" s="271"/>
      <c r="AS66" s="271"/>
      <c r="AT66" s="271"/>
      <c r="AU66" s="271"/>
      <c r="AV66" s="271"/>
      <c r="AW66" s="271"/>
      <c r="AX66" s="271"/>
      <c r="AY66" s="271"/>
      <c r="AZ66" s="69"/>
      <c r="BA66" s="69"/>
      <c r="BB66" s="69"/>
      <c r="BC66" s="69"/>
      <c r="BD66" s="69"/>
      <c r="BE66" s="69"/>
      <c r="BF66" s="69"/>
      <c r="BG66" s="69"/>
      <c r="BH66" s="69"/>
      <c r="BI66" s="69"/>
      <c r="BJ66" s="69"/>
      <c r="BK66" s="69"/>
      <c r="BL66" s="69"/>
      <c r="BM66" s="69"/>
      <c r="BN66" s="69"/>
      <c r="BO66" s="69"/>
      <c r="BP66" s="69"/>
    </row>
    <row r="67" customFormat="false" ht="15" hidden="false" customHeight="true" outlineLevel="0" collapsed="false">
      <c r="A67" s="1" t="s">
        <v>1068</v>
      </c>
      <c r="E67" s="270"/>
      <c r="F67" s="6" t="s">
        <v>150</v>
      </c>
      <c r="G67" s="71" t="n">
        <f aca="false">E67*$M$2</f>
        <v>0</v>
      </c>
      <c r="H67" s="28" t="n">
        <f aca="false">'APUS ELECTRICAS'!J114</f>
        <v>86.81614</v>
      </c>
      <c r="I67" s="1" t="n">
        <f aca="false">G67*H67</f>
        <v>0</v>
      </c>
      <c r="K67" s="28"/>
      <c r="O67" s="270"/>
      <c r="P67" s="270"/>
      <c r="Q67" s="270"/>
      <c r="R67" s="270"/>
      <c r="S67" s="271"/>
      <c r="T67" s="271"/>
      <c r="U67" s="271"/>
      <c r="V67" s="271"/>
      <c r="W67" s="272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2"/>
      <c r="AM67" s="271"/>
      <c r="AN67" s="271"/>
      <c r="AO67" s="271"/>
      <c r="AP67" s="271"/>
      <c r="AQ67" s="69"/>
      <c r="AR67" s="271"/>
      <c r="AS67" s="271"/>
      <c r="AT67" s="271"/>
      <c r="AU67" s="271"/>
      <c r="AV67" s="271"/>
      <c r="AW67" s="271"/>
      <c r="AX67" s="271"/>
      <c r="AY67" s="271"/>
      <c r="AZ67" s="69"/>
      <c r="BA67" s="69"/>
      <c r="BB67" s="69"/>
      <c r="BC67" s="69"/>
      <c r="BD67" s="69"/>
      <c r="BE67" s="69"/>
      <c r="BF67" s="69"/>
      <c r="BG67" s="69"/>
      <c r="BH67" s="69"/>
      <c r="BI67" s="69"/>
      <c r="BJ67" s="69"/>
      <c r="BK67" s="69"/>
      <c r="BL67" s="69"/>
      <c r="BM67" s="69"/>
      <c r="BN67" s="69"/>
      <c r="BO67" s="69"/>
      <c r="BP67" s="69"/>
    </row>
    <row r="68" customFormat="false" ht="15" hidden="false" customHeight="true" outlineLevel="0" collapsed="false">
      <c r="K68" s="28"/>
      <c r="O68" s="270"/>
      <c r="P68" s="270"/>
      <c r="Q68" s="270"/>
      <c r="R68" s="270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69"/>
      <c r="AR68" s="271"/>
      <c r="AS68" s="271"/>
      <c r="AT68" s="271"/>
      <c r="AU68" s="271"/>
      <c r="AV68" s="271"/>
      <c r="AW68" s="271"/>
      <c r="AX68" s="271"/>
      <c r="AY68" s="271"/>
      <c r="AZ68" s="69"/>
      <c r="BA68" s="69"/>
      <c r="BB68" s="69"/>
      <c r="BC68" s="69"/>
      <c r="BD68" s="69"/>
      <c r="BE68" s="69"/>
      <c r="BF68" s="69"/>
      <c r="BG68" s="69"/>
      <c r="BH68" s="69"/>
      <c r="BI68" s="69"/>
      <c r="BJ68" s="69"/>
      <c r="BK68" s="69"/>
      <c r="BL68" s="69"/>
      <c r="BM68" s="69"/>
      <c r="BN68" s="69"/>
      <c r="BO68" s="69"/>
      <c r="BP68" s="69"/>
    </row>
    <row r="69" customFormat="false" ht="15" hidden="false" customHeight="true" outlineLevel="0" collapsed="false">
      <c r="O69" s="270"/>
      <c r="P69" s="270"/>
      <c r="Q69" s="270"/>
      <c r="R69" s="270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69"/>
      <c r="AR69" s="271"/>
      <c r="AS69" s="271"/>
      <c r="AT69" s="271"/>
      <c r="AU69" s="271"/>
      <c r="AV69" s="271"/>
      <c r="AW69" s="271"/>
      <c r="AX69" s="271"/>
      <c r="AY69" s="271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</row>
    <row r="70" customFormat="false" ht="15" hidden="false" customHeight="true" outlineLevel="0" collapsed="false">
      <c r="A70" s="15"/>
      <c r="G70" s="71"/>
      <c r="H70" s="28"/>
      <c r="O70" s="270"/>
      <c r="P70" s="270"/>
      <c r="Q70" s="270"/>
      <c r="R70" s="270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69"/>
      <c r="AR70" s="271"/>
      <c r="AS70" s="271"/>
      <c r="AT70" s="271"/>
      <c r="AU70" s="271"/>
      <c r="AV70" s="271"/>
      <c r="AW70" s="271"/>
      <c r="AX70" s="271"/>
      <c r="AY70" s="271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</row>
    <row r="71" customFormat="false" ht="15" hidden="false" customHeight="true" outlineLevel="0" collapsed="false">
      <c r="A71" s="107"/>
      <c r="O71" s="270"/>
      <c r="P71" s="270"/>
      <c r="Q71" s="270"/>
      <c r="R71" s="270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69"/>
      <c r="AR71" s="271"/>
      <c r="AS71" s="271"/>
      <c r="AT71" s="271"/>
      <c r="AU71" s="271"/>
      <c r="AV71" s="271"/>
      <c r="AW71" s="271"/>
      <c r="AX71" s="271"/>
      <c r="AY71" s="271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</row>
    <row r="72" customFormat="false" ht="15" hidden="false" customHeight="true" outlineLevel="0" collapsed="false">
      <c r="G72" s="71"/>
      <c r="H72" s="152"/>
      <c r="O72" s="270"/>
      <c r="P72" s="270"/>
      <c r="Q72" s="270"/>
      <c r="R72" s="270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69"/>
      <c r="AG72" s="271"/>
      <c r="AH72" s="271"/>
      <c r="AI72" s="271"/>
      <c r="AJ72" s="271"/>
      <c r="AK72" s="271"/>
      <c r="AL72" s="69"/>
      <c r="AM72" s="271"/>
      <c r="AN72" s="271"/>
      <c r="AO72" s="271"/>
      <c r="AP72" s="271"/>
      <c r="AQ72" s="69"/>
      <c r="AR72" s="271"/>
      <c r="AS72" s="271"/>
      <c r="AT72" s="271"/>
      <c r="AU72" s="271"/>
      <c r="AV72" s="271"/>
      <c r="AW72" s="271"/>
      <c r="AX72" s="271"/>
      <c r="AY72" s="271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</row>
    <row r="73" customFormat="false" ht="15" hidden="false" customHeight="true" outlineLevel="0" collapsed="false">
      <c r="G73" s="71"/>
      <c r="H73" s="152"/>
      <c r="O73" s="270"/>
      <c r="P73" s="270"/>
      <c r="Q73" s="270"/>
      <c r="R73" s="270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69"/>
      <c r="AD73" s="271"/>
      <c r="AE73" s="69"/>
      <c r="AF73" s="69"/>
      <c r="AG73" s="271"/>
      <c r="AH73" s="271"/>
      <c r="AI73" s="271"/>
      <c r="AJ73" s="271"/>
      <c r="AK73" s="271"/>
      <c r="AL73" s="69"/>
      <c r="AM73" s="271"/>
      <c r="AN73" s="69"/>
      <c r="AO73" s="271"/>
      <c r="AP73" s="271"/>
      <c r="AQ73" s="69"/>
      <c r="AR73" s="271"/>
      <c r="AS73" s="271"/>
      <c r="AT73" s="271"/>
      <c r="AU73" s="271"/>
      <c r="AV73" s="69"/>
      <c r="AW73" s="271"/>
      <c r="AX73" s="69"/>
      <c r="AY73" s="271"/>
      <c r="AZ73" s="69"/>
      <c r="BA73" s="69"/>
      <c r="BB73" s="69"/>
      <c r="BC73" s="69"/>
      <c r="BD73" s="69"/>
      <c r="BE73" s="69"/>
      <c r="BF73" s="69"/>
      <c r="BG73" s="69"/>
      <c r="BH73" s="69"/>
      <c r="BI73" s="69"/>
      <c r="BJ73" s="69"/>
      <c r="BK73" s="69"/>
      <c r="BL73" s="69"/>
      <c r="BM73" s="69"/>
      <c r="BN73" s="69"/>
      <c r="BO73" s="69"/>
      <c r="BP73" s="69"/>
    </row>
    <row r="74" customFormat="false" ht="15" hidden="false" customHeight="false" outlineLevel="0" collapsed="false">
      <c r="G74" s="71"/>
      <c r="H74" s="152"/>
      <c r="S74" s="69"/>
      <c r="T74" s="69"/>
      <c r="U74" s="284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69"/>
      <c r="AK74" s="69"/>
      <c r="AL74" s="69"/>
      <c r="AM74" s="69"/>
      <c r="AN74" s="69"/>
      <c r="AO74" s="69"/>
      <c r="AP74" s="69"/>
      <c r="AQ74" s="69"/>
      <c r="AR74" s="285"/>
      <c r="AS74" s="285"/>
      <c r="AT74" s="69"/>
      <c r="AU74" s="69"/>
      <c r="AV74" s="69"/>
      <c r="AW74" s="69"/>
      <c r="AX74" s="69"/>
      <c r="AY74" s="284"/>
      <c r="AZ74" s="69"/>
      <c r="BA74" s="69"/>
      <c r="BB74" s="69"/>
      <c r="BC74" s="69"/>
      <c r="BD74" s="69"/>
      <c r="BE74" s="69"/>
      <c r="BF74" s="69"/>
      <c r="BG74" s="69"/>
      <c r="BH74" s="69"/>
      <c r="BI74" s="69"/>
      <c r="BJ74" s="69"/>
      <c r="BK74" s="69"/>
      <c r="BL74" s="69"/>
      <c r="BM74" s="69"/>
      <c r="BN74" s="69"/>
      <c r="BO74" s="69"/>
      <c r="BP74" s="69"/>
    </row>
    <row r="75" customFormat="false" ht="15" hidden="false" customHeight="false" outlineLevel="0" collapsed="false">
      <c r="G75" s="71"/>
      <c r="H75" s="152"/>
      <c r="S75" s="69"/>
      <c r="T75" s="69"/>
      <c r="U75" s="271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69"/>
      <c r="AK75" s="69"/>
      <c r="AL75" s="69"/>
      <c r="AM75" s="69"/>
      <c r="AN75" s="69"/>
      <c r="AO75" s="69"/>
      <c r="AP75" s="69"/>
      <c r="AQ75" s="69"/>
      <c r="AR75" s="69"/>
      <c r="AS75" s="272"/>
      <c r="AT75" s="69"/>
      <c r="AU75" s="69"/>
      <c r="AV75" s="69"/>
      <c r="AW75" s="69"/>
      <c r="AX75" s="69"/>
      <c r="AY75" s="271"/>
      <c r="AZ75" s="69"/>
      <c r="BA75" s="69"/>
      <c r="BB75" s="69"/>
      <c r="BC75" s="69"/>
      <c r="BD75" s="69"/>
      <c r="BE75" s="69"/>
      <c r="BF75" s="69"/>
      <c r="BG75" s="69"/>
      <c r="BH75" s="69"/>
      <c r="BI75" s="69"/>
      <c r="BJ75" s="69"/>
      <c r="BK75" s="69"/>
      <c r="BL75" s="69"/>
      <c r="BM75" s="69"/>
      <c r="BN75" s="69"/>
      <c r="BO75" s="69"/>
      <c r="BP75" s="69"/>
    </row>
    <row r="76" customFormat="false" ht="15" hidden="false" customHeight="false" outlineLevel="0" collapsed="false">
      <c r="G76" s="71"/>
      <c r="H76" s="152"/>
      <c r="S76" s="69"/>
      <c r="T76" s="69"/>
      <c r="U76" s="271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69"/>
      <c r="AK76" s="69"/>
      <c r="AL76" s="69"/>
      <c r="AM76" s="69"/>
      <c r="AN76" s="69"/>
      <c r="AO76" s="69"/>
      <c r="AP76" s="69"/>
      <c r="AQ76" s="69"/>
      <c r="AR76" s="69"/>
      <c r="AS76" s="272"/>
      <c r="AT76" s="69"/>
      <c r="AU76" s="69"/>
      <c r="AV76" s="69"/>
      <c r="AW76" s="69"/>
      <c r="AX76" s="69"/>
      <c r="AY76" s="69"/>
      <c r="AZ76" s="69"/>
      <c r="BA76" s="69"/>
      <c r="BB76" s="69"/>
      <c r="BC76" s="69"/>
      <c r="BD76" s="69"/>
      <c r="BE76" s="69"/>
      <c r="BF76" s="69"/>
      <c r="BG76" s="69"/>
      <c r="BH76" s="69"/>
      <c r="BI76" s="69"/>
      <c r="BJ76" s="69"/>
      <c r="BK76" s="69"/>
      <c r="BL76" s="69"/>
      <c r="BM76" s="69"/>
      <c r="BN76" s="69"/>
      <c r="BO76" s="69"/>
      <c r="BP76" s="69"/>
    </row>
    <row r="77" customFormat="false" ht="15" hidden="false" customHeight="false" outlineLevel="0" collapsed="false">
      <c r="G77" s="71"/>
      <c r="H77" s="152"/>
      <c r="S77" s="69"/>
      <c r="T77" s="69"/>
      <c r="U77" s="271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69"/>
      <c r="AK77" s="69"/>
      <c r="AL77" s="69"/>
      <c r="AM77" s="69"/>
      <c r="AN77" s="69"/>
      <c r="AO77" s="69"/>
      <c r="AP77" s="69"/>
      <c r="AQ77" s="69"/>
      <c r="AR77" s="69"/>
      <c r="AS77" s="272"/>
      <c r="AT77" s="69"/>
      <c r="AU77" s="69"/>
      <c r="AV77" s="69"/>
      <c r="AW77" s="69"/>
      <c r="AX77" s="69"/>
      <c r="AY77" s="69"/>
      <c r="AZ77" s="69"/>
      <c r="BA77" s="69"/>
      <c r="BB77" s="69"/>
      <c r="BC77" s="69"/>
      <c r="BD77" s="69"/>
      <c r="BE77" s="69"/>
      <c r="BF77" s="69"/>
      <c r="BG77" s="69"/>
      <c r="BH77" s="69"/>
      <c r="BI77" s="69"/>
      <c r="BJ77" s="69"/>
      <c r="BK77" s="69"/>
      <c r="BL77" s="69"/>
      <c r="BM77" s="69"/>
      <c r="BN77" s="69"/>
      <c r="BO77" s="69"/>
      <c r="BP77" s="69"/>
    </row>
    <row r="78" customFormat="false" ht="15" hidden="false" customHeight="false" outlineLevel="0" collapsed="false">
      <c r="G78" s="71"/>
      <c r="H78" s="152"/>
      <c r="S78" s="69"/>
      <c r="T78" s="69"/>
      <c r="U78" s="271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69"/>
      <c r="AK78" s="69"/>
      <c r="AL78" s="69"/>
      <c r="AM78" s="69"/>
      <c r="AN78" s="69"/>
      <c r="AO78" s="69"/>
      <c r="AP78" s="69"/>
      <c r="AQ78" s="69"/>
      <c r="AR78" s="69"/>
      <c r="AS78" s="272"/>
      <c r="AT78" s="69"/>
      <c r="AU78" s="69"/>
      <c r="AV78" s="69"/>
      <c r="AW78" s="69"/>
      <c r="AX78" s="69"/>
      <c r="AY78" s="69"/>
      <c r="AZ78" s="69"/>
      <c r="BA78" s="69"/>
      <c r="BB78" s="69"/>
      <c r="BC78" s="69"/>
      <c r="BD78" s="69"/>
      <c r="BE78" s="69"/>
      <c r="BF78" s="69"/>
      <c r="BG78" s="69"/>
      <c r="BH78" s="69"/>
      <c r="BI78" s="69"/>
      <c r="BJ78" s="69"/>
      <c r="BK78" s="69"/>
      <c r="BL78" s="69"/>
      <c r="BM78" s="69"/>
      <c r="BN78" s="69"/>
      <c r="BO78" s="69"/>
      <c r="BP78" s="69"/>
    </row>
    <row r="79" customFormat="false" ht="15" hidden="false" customHeight="false" outlineLevel="0" collapsed="false">
      <c r="G79" s="71"/>
      <c r="H79" s="152"/>
      <c r="S79" s="69"/>
      <c r="T79" s="69"/>
      <c r="U79" s="271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69"/>
      <c r="AK79" s="69"/>
      <c r="AL79" s="69"/>
      <c r="AM79" s="69"/>
      <c r="AN79" s="69"/>
      <c r="AO79" s="69"/>
      <c r="AP79" s="69"/>
      <c r="AQ79" s="69"/>
      <c r="AR79" s="69"/>
      <c r="AS79" s="272"/>
      <c r="AT79" s="69"/>
      <c r="AU79" s="69"/>
      <c r="AV79" s="69"/>
      <c r="AW79" s="69"/>
      <c r="AX79" s="69"/>
      <c r="AY79" s="69"/>
      <c r="AZ79" s="69"/>
      <c r="BA79" s="69"/>
      <c r="BB79" s="69"/>
      <c r="BC79" s="69"/>
      <c r="BD79" s="69"/>
      <c r="BE79" s="69"/>
      <c r="BF79" s="69"/>
      <c r="BG79" s="69"/>
      <c r="BH79" s="69"/>
      <c r="BI79" s="69"/>
      <c r="BJ79" s="69"/>
      <c r="BK79" s="69"/>
      <c r="BL79" s="69"/>
      <c r="BM79" s="69"/>
      <c r="BN79" s="69"/>
      <c r="BO79" s="69"/>
      <c r="BP79" s="69"/>
    </row>
    <row r="80" customFormat="false" ht="15" hidden="false" customHeight="false" outlineLevel="0" collapsed="false">
      <c r="G80" s="71"/>
      <c r="H80" s="152"/>
      <c r="S80" s="69"/>
      <c r="T80" s="69"/>
      <c r="U80" s="271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69"/>
      <c r="AK80" s="69"/>
      <c r="AL80" s="69"/>
      <c r="AM80" s="69"/>
      <c r="AN80" s="69"/>
      <c r="AO80" s="69"/>
      <c r="AP80" s="69"/>
      <c r="AQ80" s="69"/>
      <c r="AR80" s="69"/>
      <c r="AS80" s="272"/>
      <c r="AT80" s="69"/>
      <c r="AU80" s="69"/>
      <c r="AV80" s="69"/>
      <c r="AW80" s="69"/>
      <c r="AX80" s="69"/>
      <c r="AY80" s="69"/>
      <c r="AZ80" s="69"/>
      <c r="BA80" s="69"/>
      <c r="BB80" s="69"/>
      <c r="BC80" s="69"/>
      <c r="BD80" s="69"/>
      <c r="BE80" s="69"/>
      <c r="BF80" s="69"/>
      <c r="BG80" s="69"/>
      <c r="BH80" s="69"/>
      <c r="BI80" s="69"/>
      <c r="BJ80" s="69"/>
      <c r="BK80" s="69"/>
      <c r="BL80" s="69"/>
      <c r="BM80" s="69"/>
      <c r="BN80" s="69"/>
      <c r="BO80" s="69"/>
      <c r="BP80" s="69"/>
    </row>
    <row r="81" customFormat="false" ht="15" hidden="false" customHeight="false" outlineLevel="0" collapsed="false">
      <c r="G81" s="71"/>
      <c r="H81" s="152"/>
      <c r="S81" s="69"/>
      <c r="T81" s="69"/>
      <c r="U81" s="271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69"/>
      <c r="AK81" s="69"/>
      <c r="AL81" s="69"/>
      <c r="AM81" s="69"/>
      <c r="AN81" s="69"/>
      <c r="AO81" s="69"/>
      <c r="AP81" s="69"/>
      <c r="AQ81" s="69"/>
      <c r="AR81" s="69"/>
      <c r="AS81" s="272"/>
      <c r="AT81" s="69"/>
      <c r="AU81" s="69"/>
      <c r="AV81" s="69"/>
      <c r="AW81" s="69"/>
      <c r="AX81" s="69"/>
      <c r="AY81" s="69"/>
      <c r="AZ81" s="69"/>
      <c r="BA81" s="69"/>
      <c r="BB81" s="69"/>
      <c r="BC81" s="69"/>
      <c r="BD81" s="69"/>
      <c r="BE81" s="69"/>
      <c r="BF81" s="69"/>
      <c r="BG81" s="69"/>
      <c r="BH81" s="69"/>
      <c r="BI81" s="69"/>
      <c r="BJ81" s="69"/>
      <c r="BK81" s="69"/>
      <c r="BL81" s="69"/>
      <c r="BM81" s="69"/>
      <c r="BN81" s="69"/>
      <c r="BO81" s="69"/>
      <c r="BP81" s="69"/>
    </row>
    <row r="82" customFormat="false" ht="15" hidden="false" customHeight="false" outlineLevel="0" collapsed="false">
      <c r="G82" s="71"/>
      <c r="H82" s="152"/>
      <c r="S82" s="69"/>
      <c r="T82" s="69"/>
      <c r="U82" s="271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69"/>
      <c r="AK82" s="69"/>
      <c r="AL82" s="69"/>
      <c r="AM82" s="69"/>
      <c r="AN82" s="69"/>
      <c r="AO82" s="69"/>
      <c r="AP82" s="69"/>
      <c r="AQ82" s="69"/>
      <c r="AR82" s="69"/>
      <c r="AS82" s="272"/>
      <c r="AT82" s="69"/>
      <c r="AU82" s="69"/>
      <c r="AV82" s="69"/>
      <c r="AW82" s="69"/>
      <c r="AX82" s="69"/>
      <c r="AY82" s="69"/>
      <c r="AZ82" s="69"/>
      <c r="BA82" s="69"/>
      <c r="BB82" s="69"/>
      <c r="BC82" s="69"/>
      <c r="BD82" s="69"/>
      <c r="BE82" s="69"/>
      <c r="BF82" s="69"/>
      <c r="BG82" s="69"/>
      <c r="BH82" s="69"/>
      <c r="BI82" s="69"/>
      <c r="BJ82" s="69"/>
      <c r="BK82" s="69"/>
      <c r="BL82" s="69"/>
      <c r="BM82" s="69"/>
      <c r="BN82" s="69"/>
      <c r="BO82" s="69"/>
      <c r="BP82" s="69"/>
    </row>
    <row r="83" customFormat="false" ht="15" hidden="false" customHeight="false" outlineLevel="0" collapsed="false">
      <c r="A83" s="251"/>
      <c r="S83" s="69"/>
      <c r="T83" s="69"/>
      <c r="U83" s="271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69"/>
      <c r="AK83" s="69"/>
      <c r="AL83" s="69"/>
      <c r="AM83" s="69"/>
      <c r="AN83" s="69"/>
      <c r="AO83" s="69"/>
      <c r="AP83" s="69"/>
      <c r="AQ83" s="69"/>
      <c r="AR83" s="69"/>
      <c r="AS83" s="272"/>
      <c r="AT83" s="69"/>
      <c r="AU83" s="69"/>
      <c r="AV83" s="69"/>
      <c r="AW83" s="69"/>
      <c r="AX83" s="69"/>
      <c r="AY83" s="69"/>
      <c r="AZ83" s="69"/>
      <c r="BA83" s="69"/>
      <c r="BB83" s="69"/>
      <c r="BC83" s="69"/>
      <c r="BD83" s="69"/>
      <c r="BE83" s="69"/>
      <c r="BF83" s="69"/>
      <c r="BG83" s="69"/>
      <c r="BH83" s="69"/>
      <c r="BI83" s="69"/>
      <c r="BJ83" s="69"/>
      <c r="BK83" s="69"/>
      <c r="BL83" s="69"/>
      <c r="BM83" s="69"/>
      <c r="BN83" s="69"/>
      <c r="BO83" s="69"/>
      <c r="BP83" s="69"/>
    </row>
    <row r="84" customFormat="false" ht="15" hidden="false" customHeight="false" outlineLevel="0" collapsed="false">
      <c r="S84" s="69"/>
      <c r="T84" s="69"/>
      <c r="U84" s="271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69"/>
      <c r="AK84" s="69"/>
      <c r="AL84" s="69"/>
      <c r="AM84" s="69"/>
      <c r="AN84" s="69"/>
      <c r="AO84" s="69"/>
      <c r="AP84" s="69"/>
      <c r="AQ84" s="69"/>
      <c r="AR84" s="69"/>
      <c r="AS84" s="272"/>
      <c r="AT84" s="69"/>
      <c r="AU84" s="69"/>
      <c r="AV84" s="69"/>
      <c r="AW84" s="69"/>
      <c r="AX84" s="69"/>
      <c r="AY84" s="69"/>
      <c r="AZ84" s="69"/>
      <c r="BA84" s="69"/>
      <c r="BB84" s="69"/>
      <c r="BC84" s="69"/>
      <c r="BD84" s="69"/>
      <c r="BE84" s="69"/>
      <c r="BF84" s="69"/>
      <c r="BG84" s="69"/>
      <c r="BH84" s="69"/>
      <c r="BI84" s="69"/>
      <c r="BJ84" s="69"/>
      <c r="BK84" s="69"/>
      <c r="BL84" s="69"/>
      <c r="BM84" s="69"/>
      <c r="BN84" s="69"/>
      <c r="BO84" s="69"/>
      <c r="BP84" s="69"/>
    </row>
    <row r="85" customFormat="false" ht="15" hidden="false" customHeight="false" outlineLevel="0" collapsed="false">
      <c r="H85" s="28"/>
      <c r="S85" s="69"/>
      <c r="T85" s="69"/>
      <c r="U85" s="271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69"/>
      <c r="AK85" s="69"/>
      <c r="AL85" s="69"/>
      <c r="AM85" s="69"/>
      <c r="AN85" s="69"/>
      <c r="AO85" s="69"/>
      <c r="AP85" s="69"/>
      <c r="AQ85" s="69"/>
      <c r="AR85" s="69"/>
      <c r="AS85" s="272"/>
      <c r="AT85" s="69"/>
      <c r="AU85" s="69"/>
      <c r="AV85" s="69"/>
      <c r="AW85" s="69"/>
      <c r="AX85" s="69"/>
      <c r="AY85" s="69"/>
      <c r="AZ85" s="69"/>
      <c r="BA85" s="69"/>
      <c r="BB85" s="69"/>
      <c r="BC85" s="69"/>
      <c r="BD85" s="69"/>
      <c r="BE85" s="69"/>
      <c r="BF85" s="69"/>
      <c r="BG85" s="69"/>
      <c r="BH85" s="69"/>
      <c r="BI85" s="69"/>
      <c r="BJ85" s="69"/>
      <c r="BK85" s="69"/>
      <c r="BL85" s="69"/>
      <c r="BM85" s="69"/>
      <c r="BN85" s="69"/>
      <c r="BO85" s="69"/>
      <c r="BP85" s="69"/>
    </row>
    <row r="86" customFormat="false" ht="15" hidden="false" customHeight="false" outlineLevel="0" collapsed="false">
      <c r="H86" s="28"/>
      <c r="S86" s="69"/>
      <c r="T86" s="69"/>
      <c r="U86" s="271"/>
      <c r="V86" s="69"/>
      <c r="W86" s="69"/>
      <c r="X86" s="69"/>
      <c r="Y86" s="69"/>
      <c r="Z86" s="69"/>
      <c r="AA86" s="69"/>
      <c r="AB86" s="69"/>
      <c r="AC86" s="69"/>
      <c r="AD86" s="69"/>
      <c r="AE86" s="69"/>
      <c r="AF86" s="69"/>
      <c r="AG86" s="69"/>
      <c r="AH86" s="69"/>
      <c r="AI86" s="69"/>
      <c r="AJ86" s="69"/>
      <c r="AK86" s="69"/>
      <c r="AL86" s="69"/>
      <c r="AM86" s="69"/>
      <c r="AN86" s="69"/>
      <c r="AO86" s="69"/>
      <c r="AP86" s="69"/>
      <c r="AQ86" s="69"/>
      <c r="AR86" s="69"/>
      <c r="AS86" s="286"/>
      <c r="AT86" s="69"/>
      <c r="AU86" s="69"/>
      <c r="AV86" s="69"/>
      <c r="AW86" s="69"/>
      <c r="AX86" s="69"/>
      <c r="AY86" s="69"/>
      <c r="AZ86" s="69"/>
      <c r="BA86" s="69"/>
      <c r="BB86" s="69"/>
      <c r="BC86" s="69"/>
      <c r="BD86" s="69"/>
      <c r="BE86" s="69"/>
      <c r="BF86" s="69"/>
      <c r="BG86" s="69"/>
      <c r="BH86" s="69"/>
      <c r="BI86" s="69"/>
      <c r="BJ86" s="69"/>
      <c r="BK86" s="69"/>
      <c r="BL86" s="69"/>
      <c r="BM86" s="69"/>
      <c r="BN86" s="69"/>
      <c r="BO86" s="69"/>
      <c r="BP86" s="69"/>
    </row>
    <row r="87" customFormat="false" ht="15" hidden="false" customHeight="true" outlineLevel="0" collapsed="false"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69"/>
      <c r="AK87" s="69"/>
      <c r="AL87" s="69"/>
      <c r="AM87" s="69"/>
      <c r="AN87" s="69"/>
      <c r="AO87" s="69"/>
      <c r="AP87" s="69"/>
      <c r="AQ87" s="69"/>
      <c r="AR87" s="69"/>
      <c r="AS87" s="272"/>
      <c r="AT87" s="69"/>
      <c r="AU87" s="69"/>
      <c r="AV87" s="69"/>
      <c r="AW87" s="69"/>
      <c r="AX87" s="69"/>
      <c r="AY87" s="69"/>
      <c r="AZ87" s="69"/>
      <c r="BA87" s="69"/>
      <c r="BB87" s="69"/>
      <c r="BC87" s="69"/>
      <c r="BD87" s="69"/>
      <c r="BE87" s="69"/>
      <c r="BF87" s="69"/>
      <c r="BG87" s="69"/>
      <c r="BH87" s="69"/>
      <c r="BI87" s="69"/>
      <c r="BJ87" s="69"/>
      <c r="BK87" s="69"/>
      <c r="BL87" s="69"/>
      <c r="BM87" s="69"/>
      <c r="BN87" s="69"/>
      <c r="BO87" s="69"/>
      <c r="BP87" s="69"/>
    </row>
    <row r="88" customFormat="false" ht="15" hidden="false" customHeight="false" outlineLevel="0" collapsed="false">
      <c r="H88" s="28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69"/>
      <c r="AK88" s="69"/>
      <c r="AL88" s="69"/>
      <c r="AM88" s="69"/>
      <c r="AN88" s="69"/>
      <c r="AO88" s="69"/>
      <c r="AP88" s="69"/>
      <c r="AQ88" s="69"/>
      <c r="AR88" s="69"/>
      <c r="AS88" s="272"/>
      <c r="AT88" s="69"/>
      <c r="AU88" s="69"/>
      <c r="AV88" s="69"/>
      <c r="AW88" s="69"/>
      <c r="AX88" s="69"/>
      <c r="AY88" s="69"/>
      <c r="AZ88" s="69"/>
      <c r="BA88" s="69"/>
      <c r="BB88" s="69"/>
      <c r="BC88" s="69"/>
      <c r="BD88" s="69"/>
      <c r="BE88" s="69"/>
      <c r="BF88" s="69"/>
      <c r="BG88" s="69"/>
      <c r="BH88" s="69"/>
      <c r="BI88" s="69"/>
      <c r="BJ88" s="69"/>
      <c r="BK88" s="69"/>
      <c r="BL88" s="69"/>
      <c r="BM88" s="69"/>
      <c r="BN88" s="69"/>
      <c r="BO88" s="69"/>
      <c r="BP88" s="69"/>
    </row>
    <row r="89" customFormat="false" ht="15" hidden="false" customHeight="false" outlineLevel="0" collapsed="false">
      <c r="S89" s="69"/>
      <c r="T89" s="69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69"/>
      <c r="AK89" s="69"/>
      <c r="AL89" s="69"/>
      <c r="AM89" s="69"/>
      <c r="AN89" s="69"/>
      <c r="AO89" s="69"/>
      <c r="AP89" s="69"/>
      <c r="AQ89" s="69"/>
      <c r="AR89" s="69"/>
      <c r="AS89" s="69"/>
      <c r="AT89" s="69"/>
      <c r="AU89" s="69"/>
      <c r="AV89" s="69"/>
      <c r="AW89" s="69"/>
      <c r="AX89" s="69"/>
      <c r="AY89" s="69"/>
      <c r="AZ89" s="69"/>
      <c r="BA89" s="69"/>
      <c r="BB89" s="69"/>
      <c r="BC89" s="69"/>
      <c r="BD89" s="69"/>
      <c r="BE89" s="69"/>
      <c r="BF89" s="69"/>
      <c r="BG89" s="69"/>
      <c r="BH89" s="69"/>
      <c r="BI89" s="69"/>
      <c r="BJ89" s="69"/>
      <c r="BK89" s="69"/>
      <c r="BL89" s="69"/>
      <c r="BM89" s="69"/>
      <c r="BN89" s="69"/>
      <c r="BO89" s="69"/>
      <c r="BP89" s="69"/>
    </row>
    <row r="90" customFormat="false" ht="15" hidden="false" customHeight="false" outlineLevel="0" collapsed="false">
      <c r="H90" s="28"/>
    </row>
    <row r="91" customFormat="false" ht="15" hidden="false" customHeight="false" outlineLevel="0" collapsed="false">
      <c r="H91" s="28"/>
    </row>
    <row r="92" customFormat="false" ht="15" hidden="false" customHeight="false" outlineLevel="0" collapsed="false">
      <c r="H92" s="152"/>
    </row>
    <row r="93" customFormat="false" ht="15" hidden="false" customHeight="false" outlineLevel="0" collapsed="false">
      <c r="H93" s="152"/>
    </row>
    <row r="94" customFormat="false" ht="15" hidden="false" customHeight="false" outlineLevel="0" collapsed="false">
      <c r="H94" s="152"/>
    </row>
    <row r="95" customFormat="false" ht="15" hidden="false" customHeight="false" outlineLevel="0" collapsed="false">
      <c r="H95" s="152"/>
    </row>
    <row r="96" customFormat="false" ht="15" hidden="false" customHeight="false" outlineLevel="0" collapsed="false">
      <c r="H96" s="152"/>
    </row>
    <row r="97" customFormat="false" ht="15" hidden="false" customHeight="false" outlineLevel="0" collapsed="false">
      <c r="H97" s="152"/>
    </row>
    <row r="98" customFormat="false" ht="15" hidden="false" customHeight="false" outlineLevel="0" collapsed="false">
      <c r="H98" s="152"/>
    </row>
    <row r="99" customFormat="false" ht="15" hidden="false" customHeight="false" outlineLevel="0" collapsed="false">
      <c r="A99" s="251"/>
    </row>
    <row r="100" customFormat="false" ht="15" hidden="false" customHeight="false" outlineLevel="0" collapsed="false">
      <c r="H100" s="28"/>
    </row>
    <row r="101" customFormat="false" ht="15" hidden="false" customHeight="false" outlineLevel="0" collapsed="false">
      <c r="G101" s="71"/>
      <c r="H101" s="28"/>
    </row>
    <row r="102" customFormat="false" ht="15" hidden="false" customHeight="false" outlineLevel="0" collapsed="false">
      <c r="G102" s="71"/>
      <c r="H102" s="28"/>
    </row>
    <row r="103" customFormat="false" ht="15" hidden="false" customHeight="false" outlineLevel="0" collapsed="false">
      <c r="A103" s="251"/>
    </row>
    <row r="104" customFormat="false" ht="15" hidden="false" customHeight="false" outlineLevel="0" collapsed="false">
      <c r="H104" s="28"/>
    </row>
    <row r="105" customFormat="false" ht="15" hidden="false" customHeight="false" outlineLevel="0" collapsed="false">
      <c r="G105" s="71"/>
      <c r="H105" s="28"/>
    </row>
    <row r="106" customFormat="false" ht="15" hidden="false" customHeight="false" outlineLevel="0" collapsed="false">
      <c r="A106" s="251"/>
    </row>
    <row r="107" customFormat="false" ht="15" hidden="false" customHeight="false" outlineLevel="0" collapsed="false">
      <c r="H107" s="28"/>
    </row>
    <row r="108" customFormat="false" ht="15" hidden="false" customHeight="false" outlineLevel="0" collapsed="false">
      <c r="G108" s="71"/>
      <c r="H108" s="28"/>
    </row>
    <row r="109" customFormat="false" ht="15" hidden="false" customHeight="false" outlineLevel="0" collapsed="false">
      <c r="G109" s="71"/>
      <c r="H109" s="28"/>
    </row>
    <row r="163" customFormat="false" ht="15" hidden="false" customHeight="true" outlineLevel="0" collapsed="false"/>
    <row r="183" customFormat="false" ht="15" hidden="false" customHeight="false" outlineLevel="0" collapsed="false">
      <c r="D183" s="14"/>
      <c r="I183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369852071E4A4AA2DB91BA7C6CB08D" ma:contentTypeVersion="11" ma:contentTypeDescription="Create a new document." ma:contentTypeScope="" ma:versionID="3a27cfa7c783c3efaf0bd804efcd2345">
  <xsd:schema xmlns:xsd="http://www.w3.org/2001/XMLSchema" xmlns:xs="http://www.w3.org/2001/XMLSchema" xmlns:p="http://schemas.microsoft.com/office/2006/metadata/properties" xmlns:ns2="1c2a5dca-ef59-4b75-b081-b8c19a33ae49" xmlns:ns3="f33fde89-ca84-4f41-9cf4-2970b81dc696" targetNamespace="http://schemas.microsoft.com/office/2006/metadata/properties" ma:root="true" ma:fieldsID="9a60262b3d994825193278e2f3371f6b" ns2:_="" ns3:_="">
    <xsd:import namespace="1c2a5dca-ef59-4b75-b081-b8c19a33ae49"/>
    <xsd:import namespace="f33fde89-ca84-4f41-9cf4-2970b81dc6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2a5dca-ef59-4b75-b081-b8c19a33ae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5d0804c-76fa-410a-9782-953cf5ffadf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3fde89-ca84-4f41-9cf4-2970b81dc69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2e9c4c9-f685-4c58-832f-fa74a9e024c9}" ma:internalName="TaxCatchAll" ma:showField="CatchAllData" ma:web="f33fde89-ca84-4f41-9cf4-2970b81dc69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33fde89-ca84-4f41-9cf4-2970b81dc696" xsi:nil="true"/>
    <lcf76f155ced4ddcb4097134ff3c332f xmlns="1c2a5dca-ef59-4b75-b081-b8c19a33ae4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AAAEC54-2942-405C-B270-B5006380C773}"/>
</file>

<file path=customXml/itemProps2.xml><?xml version="1.0" encoding="utf-8"?>
<ds:datastoreItem xmlns:ds="http://schemas.openxmlformats.org/officeDocument/2006/customXml" ds:itemID="{464975C8-887B-45AA-BB3C-CAB56B033324}"/>
</file>

<file path=customXml/itemProps3.xml><?xml version="1.0" encoding="utf-8"?>
<ds:datastoreItem xmlns:ds="http://schemas.openxmlformats.org/officeDocument/2006/customXml" ds:itemID="{964118B6-C948-4738-B8B9-B0809397E6D7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2026-02-19T02:52:41Z</dcterms:created>
  <dc:creator/>
  <dc:description/>
  <dc:language>es-PE</dc:language>
  <cp:lastModifiedBy/>
  <dcterms:modified xsi:type="dcterms:W3CDTF">2026-06-17T14:56:11Z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0x01010068369852071E4A4AA2DB91BA7C6CB08D</vt:lpwstr>
  </property>
  <property fmtid="{D5CDD505-2E9C-101B-9397-08002B2CF9AE}" pid="3" name="MediaServiceImageTags">
    <vt:lpwstr/>
  </property>
</Properties>
</file>